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/Users/NickDGU/Google Drev/Regel &amp; Handicap/Hcp- og CR-komiteen/WHS/Undervisning/Færdigt materiale - samlet/Præsentationer/"/>
    </mc:Choice>
  </mc:AlternateContent>
  <xr:revisionPtr revIDLastSave="0" documentId="13_ncr:1_{58080981-7CBD-E448-A223-4391204070EF}" xr6:coauthVersionLast="47" xr6:coauthVersionMax="47" xr10:uidLastSave="{00000000-0000-0000-0000-000000000000}"/>
  <bookViews>
    <workbookView xWindow="0" yWindow="460" windowWidth="33600" windowHeight="20540" xr2:uid="{32443B25-FF1E-4392-AED7-60D69D21FBF2}"/>
  </bookViews>
  <sheets>
    <sheet name="Scorek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G20" i="1"/>
  <c r="F33" i="1"/>
  <c r="G33" i="1"/>
  <c r="F34" i="1"/>
  <c r="F35" i="1" s="1"/>
  <c r="G34" i="1"/>
  <c r="G35" i="1" s="1"/>
  <c r="N33" i="1"/>
  <c r="N20" i="1" l="1"/>
  <c r="H33" i="1" l="1"/>
  <c r="H20" i="1"/>
  <c r="H34" i="1" s="1"/>
  <c r="H35" i="1" s="1"/>
  <c r="E33" i="1" l="1"/>
  <c r="D33" i="1"/>
  <c r="E20" i="1"/>
  <c r="D20" i="1"/>
  <c r="AN15" i="1" l="1"/>
  <c r="AP20" i="1"/>
  <c r="AE20" i="1" l="1"/>
  <c r="AE15" i="1"/>
  <c r="AE10" i="1"/>
  <c r="AH10" i="1"/>
  <c r="V27" i="1" l="1"/>
  <c r="V28" i="1"/>
  <c r="V29" i="1"/>
  <c r="V30" i="1"/>
  <c r="V31" i="1"/>
  <c r="V32" i="1"/>
  <c r="D34" i="1" l="1"/>
  <c r="AH20" i="1"/>
  <c r="AL10" i="1"/>
  <c r="AB10" i="1" s="1"/>
  <c r="R7" i="1" s="1"/>
  <c r="J11" i="1" s="1"/>
  <c r="J25" i="1" l="1"/>
  <c r="J29" i="1"/>
  <c r="J24" i="1"/>
  <c r="J15" i="1"/>
  <c r="J19" i="1"/>
  <c r="J17" i="1"/>
  <c r="J32" i="1"/>
  <c r="J26" i="1"/>
  <c r="J30" i="1"/>
  <c r="J12" i="1"/>
  <c r="J16" i="1"/>
  <c r="K16" i="1" s="1"/>
  <c r="J27" i="1"/>
  <c r="J31" i="1"/>
  <c r="J13" i="1"/>
  <c r="J28" i="1"/>
  <c r="J14" i="1"/>
  <c r="J18" i="1"/>
  <c r="D35" i="1"/>
  <c r="N34" i="1"/>
  <c r="AN20" i="1"/>
  <c r="AL15" i="1"/>
  <c r="K27" i="1" l="1"/>
  <c r="K25" i="1"/>
  <c r="K28" i="1"/>
  <c r="K30" i="1"/>
  <c r="K24" i="1"/>
  <c r="K32" i="1"/>
  <c r="K31" i="1"/>
  <c r="K26" i="1"/>
  <c r="K29" i="1"/>
  <c r="K11" i="1"/>
  <c r="K19" i="1"/>
  <c r="K18" i="1"/>
  <c r="K17" i="1"/>
  <c r="K12" i="1"/>
  <c r="K15" i="1"/>
  <c r="K14" i="1"/>
  <c r="K13" i="1"/>
  <c r="N36" i="1"/>
  <c r="AJ20" i="1"/>
  <c r="N35" i="1"/>
  <c r="N37" i="1" l="1"/>
  <c r="L11" i="1" l="1"/>
  <c r="Q11" i="1" s="1"/>
  <c r="R32" i="1"/>
  <c r="E34" i="1"/>
  <c r="U11" i="1" l="1"/>
  <c r="R28" i="1"/>
  <c r="R27" i="1"/>
  <c r="R29" i="1"/>
  <c r="R31" i="1"/>
  <c r="R30" i="1"/>
  <c r="T11" i="1"/>
  <c r="O11" i="1"/>
  <c r="L29" i="1"/>
  <c r="L28" i="1"/>
  <c r="L18" i="1"/>
  <c r="Q18" i="1" s="1"/>
  <c r="U18" i="1" s="1"/>
  <c r="L14" i="1"/>
  <c r="Q14" i="1" s="1"/>
  <c r="U14" i="1" s="1"/>
  <c r="L16" i="1"/>
  <c r="Q16" i="1" s="1"/>
  <c r="U16" i="1" s="1"/>
  <c r="L30" i="1"/>
  <c r="L27" i="1"/>
  <c r="L25" i="1"/>
  <c r="Q25" i="1" s="1"/>
  <c r="U25" i="1" s="1"/>
  <c r="L19" i="1"/>
  <c r="Q19" i="1" s="1"/>
  <c r="U19" i="1" s="1"/>
  <c r="L31" i="1"/>
  <c r="L17" i="1"/>
  <c r="Q17" i="1" s="1"/>
  <c r="U17" i="1" s="1"/>
  <c r="L26" i="1"/>
  <c r="Q26" i="1" s="1"/>
  <c r="U26" i="1" s="1"/>
  <c r="L15" i="1"/>
  <c r="Q15" i="1" s="1"/>
  <c r="U15" i="1" s="1"/>
  <c r="L24" i="1"/>
  <c r="Q24" i="1" s="1"/>
  <c r="L13" i="1"/>
  <c r="Q13" i="1" s="1"/>
  <c r="U13" i="1" s="1"/>
  <c r="L32" i="1"/>
  <c r="L12" i="1"/>
  <c r="Q12" i="1" s="1"/>
  <c r="U12" i="1" s="1"/>
  <c r="R11" i="1"/>
  <c r="R24" i="1"/>
  <c r="R25" i="1"/>
  <c r="R19" i="1"/>
  <c r="R17" i="1"/>
  <c r="R14" i="1"/>
  <c r="R18" i="1"/>
  <c r="R15" i="1"/>
  <c r="R16" i="1"/>
  <c r="R13" i="1"/>
  <c r="R12" i="1"/>
  <c r="R26" i="1"/>
  <c r="E35" i="1"/>
  <c r="U24" i="1" l="1"/>
  <c r="S24" i="1" s="1"/>
  <c r="T31" i="1"/>
  <c r="Q31" i="1"/>
  <c r="U31" i="1" s="1"/>
  <c r="S31" i="1" s="1"/>
  <c r="T30" i="1"/>
  <c r="Q30" i="1"/>
  <c r="U30" i="1" s="1"/>
  <c r="S30" i="1" s="1"/>
  <c r="T28" i="1"/>
  <c r="Q28" i="1"/>
  <c r="U28" i="1" s="1"/>
  <c r="S28" i="1" s="1"/>
  <c r="T29" i="1"/>
  <c r="Q29" i="1"/>
  <c r="U29" i="1" s="1"/>
  <c r="S29" i="1" s="1"/>
  <c r="T32" i="1"/>
  <c r="Q32" i="1"/>
  <c r="U32" i="1" s="1"/>
  <c r="S32" i="1" s="1"/>
  <c r="T27" i="1"/>
  <c r="Q27" i="1"/>
  <c r="U27" i="1" s="1"/>
  <c r="S27" i="1" s="1"/>
  <c r="Q20" i="1"/>
  <c r="Q34" i="1" s="1"/>
  <c r="S18" i="1"/>
  <c r="S25" i="1"/>
  <c r="S11" i="1"/>
  <c r="S16" i="1"/>
  <c r="S19" i="1"/>
  <c r="S14" i="1"/>
  <c r="S15" i="1"/>
  <c r="S26" i="1"/>
  <c r="S13" i="1"/>
  <c r="S12" i="1"/>
  <c r="S17" i="1"/>
  <c r="T12" i="1"/>
  <c r="O12" i="1"/>
  <c r="T13" i="1"/>
  <c r="O13" i="1"/>
  <c r="T15" i="1"/>
  <c r="O15" i="1"/>
  <c r="T17" i="1"/>
  <c r="O17" i="1"/>
  <c r="T19" i="1"/>
  <c r="O19" i="1"/>
  <c r="O27" i="1"/>
  <c r="T16" i="1"/>
  <c r="O16" i="1"/>
  <c r="T18" i="1"/>
  <c r="O18" i="1"/>
  <c r="O29" i="1"/>
  <c r="O32" i="1"/>
  <c r="T24" i="1"/>
  <c r="O24" i="1"/>
  <c r="T26" i="1"/>
  <c r="O26" i="1"/>
  <c r="O31" i="1"/>
  <c r="T25" i="1"/>
  <c r="O25" i="1"/>
  <c r="O30" i="1"/>
  <c r="T14" i="1"/>
  <c r="O14" i="1"/>
  <c r="O28" i="1"/>
  <c r="R33" i="1"/>
  <c r="U20" i="1"/>
  <c r="R20" i="1"/>
  <c r="U33" i="1" l="1"/>
  <c r="Q33" i="1"/>
  <c r="Q35" i="1" s="1"/>
  <c r="S10" i="1"/>
  <c r="R34" i="1"/>
  <c r="R35" i="1" s="1"/>
  <c r="T33" i="1"/>
  <c r="T20" i="1"/>
  <c r="T34" i="1" s="1"/>
  <c r="U34" i="1"/>
  <c r="V5" i="1" l="1"/>
  <c r="T35" i="1"/>
  <c r="V7" i="1" s="1"/>
  <c r="W3" i="1" s="1"/>
  <c r="U35" i="1"/>
  <c r="AH15" i="1" l="1"/>
  <c r="AB15" i="1" s="1"/>
  <c r="AL20" i="1"/>
  <c r="AI21" i="1" l="1"/>
  <c r="AB20" i="1"/>
</calcChain>
</file>

<file path=xl/sharedStrings.xml><?xml version="1.0" encoding="utf-8"?>
<sst xmlns="http://schemas.openxmlformats.org/spreadsheetml/2006/main" count="76" uniqueCount="50">
  <si>
    <t>TURNERING</t>
  </si>
  <si>
    <t>SCORE - POINT</t>
  </si>
  <si>
    <t>HUL</t>
  </si>
  <si>
    <t>PAR</t>
  </si>
  <si>
    <t>NØGLE</t>
  </si>
  <si>
    <t>SLAG</t>
  </si>
  <si>
    <t>SPILLER
TEST TESTESEN</t>
  </si>
  <si>
    <t>MARKØR</t>
  </si>
  <si>
    <t>UD</t>
  </si>
  <si>
    <t>SPILLEFORM</t>
  </si>
  <si>
    <t>IND</t>
  </si>
  <si>
    <t>TOTAL</t>
  </si>
  <si>
    <t>D</t>
  </si>
  <si>
    <t>H</t>
  </si>
  <si>
    <t>CR</t>
  </si>
  <si>
    <t>SL</t>
  </si>
  <si>
    <t>UNDERSKRIFT SPILLER</t>
  </si>
  <si>
    <t>UNDERSKRIFT MARKØR</t>
  </si>
  <si>
    <t xml:space="preserve">TEE
</t>
  </si>
  <si>
    <t>SPH</t>
  </si>
  <si>
    <t>HCP score</t>
  </si>
  <si>
    <t>MAX</t>
  </si>
  <si>
    <t>Point</t>
  </si>
  <si>
    <t>BRUTTO</t>
  </si>
  <si>
    <t>- SPH</t>
  </si>
  <si>
    <t>NETTO</t>
  </si>
  <si>
    <t>BANE
TESTKLUB</t>
  </si>
  <si>
    <t>KLUB</t>
  </si>
  <si>
    <t>GOLFKLUBBEN</t>
  </si>
  <si>
    <t>SCORE - HCP</t>
  </si>
  <si>
    <t>MEDLEMSNUMMER</t>
  </si>
  <si>
    <t xml:space="preserve">NAVN
</t>
  </si>
  <si>
    <t>TEST TESTESEN</t>
  </si>
  <si>
    <t xml:space="preserve">DATO
</t>
  </si>
  <si>
    <t>HCP</t>
  </si>
  <si>
    <t>Point max 5</t>
  </si>
  <si>
    <t>-</t>
  </si>
  <si>
    <t>+</t>
  </si>
  <si>
    <t>+5</t>
  </si>
  <si>
    <t>Tee</t>
  </si>
  <si>
    <t>ANTAL HUL</t>
  </si>
  <si>
    <t>Slagspil:</t>
  </si>
  <si>
    <t>Stableford:</t>
  </si>
  <si>
    <t>Eller</t>
  </si>
  <si>
    <t>Vis Max?</t>
  </si>
  <si>
    <t>Ja</t>
  </si>
  <si>
    <t>Vis ikke udregning</t>
  </si>
  <si>
    <t>Køn</t>
  </si>
  <si>
    <t>HCP.Res</t>
  </si>
  <si>
    <t>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</si>
</sst>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8"/>
      <name val="Segoe Print Bold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0" xfId="0" quotePrefix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14" fontId="0" fillId="0" borderId="7" xfId="0" applyNumberForma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quotePrefix="1" applyFont="1" applyAlignment="1">
      <alignment horizontal="center" vertical="top" wrapText="1"/>
    </xf>
    <xf numFmtId="0" fontId="0" fillId="0" borderId="9" xfId="0" applyBorder="1" applyAlignment="1" applyProtection="1">
      <alignment horizontal="left" vertical="top" wrapText="1"/>
    </xf>
  </cellXfs>
  <cellStyles count="1">
    <cellStyle name="Normal" xfId="0" builtinId="0"/>
  </cellStyles>
  <dxfs count="29">
    <dxf>
      <fill>
        <patternFill>
          <bgColor rgb="FFFFFF00"/>
        </patternFill>
      </fill>
    </dxf>
    <dxf>
      <font>
        <color theme="0"/>
      </font>
    </dxf>
    <dxf>
      <fill>
        <patternFill patternType="lightUp">
          <fgColor theme="0" tint="-0.499984740745262"/>
        </patternFill>
      </fill>
    </dxf>
    <dxf>
      <font>
        <strike val="0"/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  <dxf>
      <fill>
        <patternFill>
          <bgColor rgb="FFFFFF00"/>
        </patternFill>
      </fill>
    </dxf>
    <dxf>
      <font>
        <b/>
        <i val="0"/>
        <strike val="0"/>
        <u val="none"/>
      </font>
      <fill>
        <patternFill>
          <fgColor auto="1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b/>
        <i val="0"/>
        <strike val="0"/>
        <u val="none"/>
      </font>
      <fill>
        <patternFill>
          <fgColor auto="1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D2D8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18</xdr:row>
      <xdr:rowOff>50800</xdr:rowOff>
    </xdr:from>
    <xdr:to>
      <xdr:col>38</xdr:col>
      <xdr:colOff>0</xdr:colOff>
      <xdr:row>21</xdr:row>
      <xdr:rowOff>0</xdr:rowOff>
    </xdr:to>
    <xdr:sp macro="" textlink="">
      <xdr:nvSpPr>
        <xdr:cNvPr id="39" name="Afrundet rektangel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2052300" y="4762500"/>
          <a:ext cx="2044700" cy="711200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508000</xdr:colOff>
      <xdr:row>17</xdr:row>
      <xdr:rowOff>12700</xdr:rowOff>
    </xdr:from>
    <xdr:to>
      <xdr:col>42</xdr:col>
      <xdr:colOff>0</xdr:colOff>
      <xdr:row>19</xdr:row>
      <xdr:rowOff>12700</xdr:rowOff>
    </xdr:to>
    <xdr:sp macro="" textlink="">
      <xdr:nvSpPr>
        <xdr:cNvPr id="38" name="Afrundet rektangel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4833600" y="4470400"/>
          <a:ext cx="1104900" cy="508000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- </a:t>
          </a:r>
          <a:r>
            <a:rPr lang="da-DK" sz="1400">
              <a:solidFill>
                <a:schemeClr val="bg1">
                  <a:lumMod val="75000"/>
                </a:schemeClr>
              </a:solidFill>
            </a:rPr>
            <a:t>PCC</a:t>
          </a:r>
        </a:p>
      </xdr:txBody>
    </xdr:sp>
    <xdr:clientData/>
  </xdr:twoCellAnchor>
  <xdr:twoCellAnchor>
    <xdr:from>
      <xdr:col>37</xdr:col>
      <xdr:colOff>419100</xdr:colOff>
      <xdr:row>12</xdr:row>
      <xdr:rowOff>0</xdr:rowOff>
    </xdr:from>
    <xdr:to>
      <xdr:col>40</xdr:col>
      <xdr:colOff>0</xdr:colOff>
      <xdr:row>14</xdr:row>
      <xdr:rowOff>0</xdr:rowOff>
    </xdr:to>
    <xdr:sp macro="" textlink="">
      <xdr:nvSpPr>
        <xdr:cNvPr id="37" name="Afrundet rektangel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919200" y="3187700"/>
          <a:ext cx="1092200" cy="508000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- </a:t>
          </a:r>
          <a:r>
            <a:rPr lang="da-DK" sz="1400">
              <a:solidFill>
                <a:schemeClr val="bg1">
                  <a:lumMod val="75000"/>
                </a:schemeClr>
              </a:solidFill>
            </a:rPr>
            <a:t>PCC</a:t>
          </a:r>
        </a:p>
      </xdr:txBody>
    </xdr:sp>
    <xdr:clientData/>
  </xdr:twoCellAnchor>
  <xdr:twoCellAnchor>
    <xdr:from>
      <xdr:col>32</xdr:col>
      <xdr:colOff>0</xdr:colOff>
      <xdr:row>17</xdr:row>
      <xdr:rowOff>50800</xdr:rowOff>
    </xdr:from>
    <xdr:to>
      <xdr:col>40</xdr:col>
      <xdr:colOff>0</xdr:colOff>
      <xdr:row>20</xdr:row>
      <xdr:rowOff>0</xdr:rowOff>
    </xdr:to>
    <xdr:sp macro="" textlink="">
      <xdr:nvSpPr>
        <xdr:cNvPr id="29" name="Afrundet rektangel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052300" y="4508500"/>
          <a:ext cx="2959100" cy="711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0</xdr:colOff>
      <xdr:row>17</xdr:row>
      <xdr:rowOff>50800</xdr:rowOff>
    </xdr:from>
    <xdr:to>
      <xdr:col>31</xdr:col>
      <xdr:colOff>0</xdr:colOff>
      <xdr:row>20</xdr:row>
      <xdr:rowOff>0</xdr:rowOff>
    </xdr:to>
    <xdr:sp macro="" textlink="">
      <xdr:nvSpPr>
        <xdr:cNvPr id="30" name="Afrundet rektangel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0883900" y="4508500"/>
          <a:ext cx="1041400" cy="711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0</xdr:colOff>
      <xdr:row>17</xdr:row>
      <xdr:rowOff>50800</xdr:rowOff>
    </xdr:from>
    <xdr:to>
      <xdr:col>29</xdr:col>
      <xdr:colOff>0</xdr:colOff>
      <xdr:row>20</xdr:row>
      <xdr:rowOff>0</xdr:rowOff>
    </xdr:to>
    <xdr:sp macro="" textlink="">
      <xdr:nvSpPr>
        <xdr:cNvPr id="31" name="Afrundet rektangel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534400" y="4508500"/>
          <a:ext cx="1905000" cy="711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0</xdr:colOff>
      <xdr:row>12</xdr:row>
      <xdr:rowOff>0</xdr:rowOff>
    </xdr:from>
    <xdr:to>
      <xdr:col>38</xdr:col>
      <xdr:colOff>0</xdr:colOff>
      <xdr:row>15</xdr:row>
      <xdr:rowOff>0</xdr:rowOff>
    </xdr:to>
    <xdr:sp macro="" textlink="">
      <xdr:nvSpPr>
        <xdr:cNvPr id="24" name="Afrundet rektange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2306300" y="3187700"/>
          <a:ext cx="1892300" cy="762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0</xdr:colOff>
      <xdr:row>12</xdr:row>
      <xdr:rowOff>25400</xdr:rowOff>
    </xdr:from>
    <xdr:to>
      <xdr:col>31</xdr:col>
      <xdr:colOff>0</xdr:colOff>
      <xdr:row>15</xdr:row>
      <xdr:rowOff>0</xdr:rowOff>
    </xdr:to>
    <xdr:sp macro="" textlink="">
      <xdr:nvSpPr>
        <xdr:cNvPr id="25" name="Afrundet rektangel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883900" y="3213100"/>
          <a:ext cx="1041400" cy="7366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26" name="Afrundet rektange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534400" y="3187700"/>
          <a:ext cx="1905000" cy="762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0</xdr:colOff>
      <xdr:row>8</xdr:row>
      <xdr:rowOff>190500</xdr:rowOff>
    </xdr:from>
    <xdr:to>
      <xdr:col>38</xdr:col>
      <xdr:colOff>0</xdr:colOff>
      <xdr:row>10</xdr:row>
      <xdr:rowOff>0</xdr:rowOff>
    </xdr:to>
    <xdr:sp macro="" textlink="">
      <xdr:nvSpPr>
        <xdr:cNvPr id="27" name="Afrundet rektange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2306300" y="2120900"/>
          <a:ext cx="1892300" cy="5588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0</xdr:colOff>
      <xdr:row>7</xdr:row>
      <xdr:rowOff>190500</xdr:rowOff>
    </xdr:from>
    <xdr:to>
      <xdr:col>31</xdr:col>
      <xdr:colOff>0</xdr:colOff>
      <xdr:row>10</xdr:row>
      <xdr:rowOff>0</xdr:rowOff>
    </xdr:to>
    <xdr:sp macro="" textlink="">
      <xdr:nvSpPr>
        <xdr:cNvPr id="28" name="Afrundet rektangel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858500" y="1917700"/>
          <a:ext cx="1041400" cy="762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0</xdr:colOff>
      <xdr:row>7</xdr:row>
      <xdr:rowOff>190500</xdr:rowOff>
    </xdr:from>
    <xdr:to>
      <xdr:col>29</xdr:col>
      <xdr:colOff>0</xdr:colOff>
      <xdr:row>10</xdr:row>
      <xdr:rowOff>0</xdr:rowOff>
    </xdr:to>
    <xdr:sp macro="" textlink="">
      <xdr:nvSpPr>
        <xdr:cNvPr id="7" name="Afrundet rektange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34400" y="1917700"/>
          <a:ext cx="1905000" cy="762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2" name="Afrundet rektange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34400" y="3187700"/>
          <a:ext cx="19050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Handicapresultat</a:t>
          </a:r>
        </a:p>
      </xdr:txBody>
    </xdr:sp>
    <xdr:clientData/>
  </xdr:twoCellAnchor>
  <xdr:twoCellAnchor>
    <xdr:from>
      <xdr:col>30</xdr:col>
      <xdr:colOff>0</xdr:colOff>
      <xdr:row>12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883900" y="3187700"/>
          <a:ext cx="10414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113/Slope</a:t>
          </a:r>
        </a:p>
      </xdr:txBody>
    </xdr:sp>
    <xdr:clientData/>
  </xdr:twoCellAnchor>
  <xdr:twoCellAnchor>
    <xdr:from>
      <xdr:col>32</xdr:col>
      <xdr:colOff>0</xdr:colOff>
      <xdr:row>12</xdr:row>
      <xdr:rowOff>0</xdr:rowOff>
    </xdr:from>
    <xdr:to>
      <xdr:col>38</xdr:col>
      <xdr:colOff>0</xdr:colOff>
      <xdr:row>14</xdr:row>
      <xdr:rowOff>0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01600" y="3187700"/>
          <a:ext cx="20193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(HCP.Score - CR)</a:t>
          </a:r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40</xdr:col>
      <xdr:colOff>0</xdr:colOff>
      <xdr:row>19</xdr:row>
      <xdr:rowOff>0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801600" y="4457700"/>
          <a:ext cx="29337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(Par + SPH</a:t>
          </a:r>
          <a:r>
            <a:rPr lang="da-DK" sz="1400" baseline="0">
              <a:solidFill>
                <a:schemeClr val="tx1"/>
              </a:solidFill>
            </a:rPr>
            <a:t> </a:t>
          </a:r>
          <a:r>
            <a:rPr lang="da-DK" sz="1400">
              <a:solidFill>
                <a:schemeClr val="tx1"/>
              </a:solidFill>
            </a:rPr>
            <a:t>- (point - 36)</a:t>
          </a:r>
          <a:r>
            <a:rPr lang="da-DK" sz="1400" baseline="0">
              <a:solidFill>
                <a:schemeClr val="tx1"/>
              </a:solidFill>
            </a:rPr>
            <a:t> - CR)</a:t>
          </a:r>
          <a:endParaRPr lang="da-DK" sz="14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0</xdr:colOff>
      <xdr:row>12</xdr:row>
      <xdr:rowOff>228600</xdr:rowOff>
    </xdr:from>
    <xdr:to>
      <xdr:col>29</xdr:col>
      <xdr:colOff>393700</xdr:colOff>
      <xdr:row>14</xdr:row>
      <xdr:rowOff>0</xdr:rowOff>
    </xdr:to>
    <xdr:sp macro="" textlink="">
      <xdr:nvSpPr>
        <xdr:cNvPr id="10" name="Afrundet rektange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39400" y="34163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600" b="1">
              <a:solidFill>
                <a:schemeClr val="tx1"/>
              </a:solidFill>
            </a:rPr>
            <a:t>=</a:t>
          </a: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1" name="Afrundet rektange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34400" y="4457700"/>
          <a:ext cx="19050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Handicapresultat</a:t>
          </a:r>
        </a:p>
      </xdr:txBody>
    </xdr:sp>
    <xdr:clientData/>
  </xdr:twoCellAnchor>
  <xdr:twoCellAnchor>
    <xdr:from>
      <xdr:col>30</xdr:col>
      <xdr:colOff>0</xdr:colOff>
      <xdr:row>17</xdr:row>
      <xdr:rowOff>0</xdr:rowOff>
    </xdr:from>
    <xdr:to>
      <xdr:col>31</xdr:col>
      <xdr:colOff>0</xdr:colOff>
      <xdr:row>19</xdr:row>
      <xdr:rowOff>0</xdr:rowOff>
    </xdr:to>
    <xdr:sp macro="" textlink="">
      <xdr:nvSpPr>
        <xdr:cNvPr id="12" name="Afrundet rektange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883900" y="4457700"/>
          <a:ext cx="10414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113/Slope</a:t>
          </a:r>
        </a:p>
      </xdr:txBody>
    </xdr:sp>
    <xdr:clientData/>
  </xdr:twoCellAnchor>
  <xdr:twoCellAnchor>
    <xdr:from>
      <xdr:col>29</xdr:col>
      <xdr:colOff>50800</xdr:colOff>
      <xdr:row>17</xdr:row>
      <xdr:rowOff>228600</xdr:rowOff>
    </xdr:from>
    <xdr:to>
      <xdr:col>30</xdr:col>
      <xdr:colOff>0</xdr:colOff>
      <xdr:row>19</xdr:row>
      <xdr:rowOff>0</xdr:rowOff>
    </xdr:to>
    <xdr:sp macro="" textlink="">
      <xdr:nvSpPr>
        <xdr:cNvPr id="14" name="Afrundet rektange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490200" y="46863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600" b="1">
              <a:solidFill>
                <a:schemeClr val="tx1"/>
              </a:solidFill>
            </a:rPr>
            <a:t>=</a:t>
          </a:r>
        </a:p>
      </xdr:txBody>
    </xdr:sp>
    <xdr:clientData/>
  </xdr:twoCellAnchor>
  <xdr:twoCellAnchor>
    <xdr:from>
      <xdr:col>26</xdr:col>
      <xdr:colOff>0</xdr:colOff>
      <xdr:row>7</xdr:row>
      <xdr:rowOff>114300</xdr:rowOff>
    </xdr:from>
    <xdr:to>
      <xdr:col>29</xdr:col>
      <xdr:colOff>0</xdr:colOff>
      <xdr:row>9</xdr:row>
      <xdr:rowOff>0</xdr:rowOff>
    </xdr:to>
    <xdr:sp macro="" textlink="">
      <xdr:nvSpPr>
        <xdr:cNvPr id="15" name="Afrundet rektangel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534400" y="1841500"/>
          <a:ext cx="19050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Spillehandicap</a:t>
          </a:r>
        </a:p>
      </xdr:txBody>
    </xdr:sp>
    <xdr:clientData/>
  </xdr:twoCellAnchor>
  <xdr:twoCellAnchor>
    <xdr:from>
      <xdr:col>30</xdr:col>
      <xdr:colOff>0</xdr:colOff>
      <xdr:row>7</xdr:row>
      <xdr:rowOff>101600</xdr:rowOff>
    </xdr:from>
    <xdr:to>
      <xdr:col>31</xdr:col>
      <xdr:colOff>0</xdr:colOff>
      <xdr:row>8</xdr:row>
      <xdr:rowOff>406400</xdr:rowOff>
    </xdr:to>
    <xdr:sp macro="" textlink="">
      <xdr:nvSpPr>
        <xdr:cNvPr id="16" name="Afrundet rektange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883900" y="1828800"/>
          <a:ext cx="10414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113/Slope</a:t>
          </a:r>
        </a:p>
      </xdr:txBody>
    </xdr:sp>
    <xdr:clientData/>
  </xdr:twoCellAnchor>
  <xdr:twoCellAnchor>
    <xdr:from>
      <xdr:col>32</xdr:col>
      <xdr:colOff>0</xdr:colOff>
      <xdr:row>7</xdr:row>
      <xdr:rowOff>114300</xdr:rowOff>
    </xdr:from>
    <xdr:to>
      <xdr:col>38</xdr:col>
      <xdr:colOff>0</xdr:colOff>
      <xdr:row>9</xdr:row>
      <xdr:rowOff>0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01600" y="1841500"/>
          <a:ext cx="2019300" cy="508000"/>
        </a:xfrm>
        <a:prstGeom prst="roundRect">
          <a:avLst/>
        </a:prstGeom>
        <a:solidFill>
          <a:srgbClr val="D2D8D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>
              <a:solidFill>
                <a:schemeClr val="tx1"/>
              </a:solidFill>
            </a:rPr>
            <a:t>(CR - Par)</a:t>
          </a:r>
        </a:p>
      </xdr:txBody>
    </xdr:sp>
    <xdr:clientData/>
  </xdr:twoCellAnchor>
  <xdr:twoCellAnchor>
    <xdr:from>
      <xdr:col>29</xdr:col>
      <xdr:colOff>50800</xdr:colOff>
      <xdr:row>8</xdr:row>
      <xdr:rowOff>139700</xdr:rowOff>
    </xdr:from>
    <xdr:to>
      <xdr:col>30</xdr:col>
      <xdr:colOff>0</xdr:colOff>
      <xdr:row>9</xdr:row>
      <xdr:rowOff>0</xdr:rowOff>
    </xdr:to>
    <xdr:sp macro="" textlink="">
      <xdr:nvSpPr>
        <xdr:cNvPr id="18" name="Afrundet 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490200" y="20701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600" b="1">
              <a:solidFill>
                <a:schemeClr val="tx1"/>
              </a:solidFill>
            </a:rPr>
            <a:t>=</a:t>
          </a:r>
        </a:p>
      </xdr:txBody>
    </xdr:sp>
    <xdr:clientData/>
  </xdr:twoCellAnchor>
  <xdr:twoCellAnchor>
    <xdr:from>
      <xdr:col>30</xdr:col>
      <xdr:colOff>1028700</xdr:colOff>
      <xdr:row>8</xdr:row>
      <xdr:rowOff>139700</xdr:rowOff>
    </xdr:from>
    <xdr:to>
      <xdr:col>32</xdr:col>
      <xdr:colOff>0</xdr:colOff>
      <xdr:row>9</xdr:row>
      <xdr:rowOff>0</xdr:rowOff>
    </xdr:to>
    <xdr:sp macro="" textlink="">
      <xdr:nvSpPr>
        <xdr:cNvPr id="20" name="Afrundet rektange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912600" y="20701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 b="1">
              <a:solidFill>
                <a:schemeClr val="tx1"/>
              </a:solidFill>
            </a:rPr>
            <a:t>X</a:t>
          </a:r>
        </a:p>
      </xdr:txBody>
    </xdr:sp>
    <xdr:clientData/>
  </xdr:twoCellAnchor>
  <xdr:twoCellAnchor>
    <xdr:from>
      <xdr:col>31</xdr:col>
      <xdr:colOff>0</xdr:colOff>
      <xdr:row>12</xdr:row>
      <xdr:rowOff>228600</xdr:rowOff>
    </xdr:from>
    <xdr:to>
      <xdr:col>32</xdr:col>
      <xdr:colOff>12700</xdr:colOff>
      <xdr:row>14</xdr:row>
      <xdr:rowOff>0</xdr:rowOff>
    </xdr:to>
    <xdr:sp macro="" textlink="">
      <xdr:nvSpPr>
        <xdr:cNvPr id="21" name="Afrundet rektange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925300" y="34163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 b="1">
              <a:solidFill>
                <a:schemeClr val="tx1"/>
              </a:solidFill>
            </a:rPr>
            <a:t>X</a:t>
          </a:r>
        </a:p>
      </xdr:txBody>
    </xdr:sp>
    <xdr:clientData/>
  </xdr:twoCellAnchor>
  <xdr:twoCellAnchor>
    <xdr:from>
      <xdr:col>31</xdr:col>
      <xdr:colOff>0</xdr:colOff>
      <xdr:row>17</xdr:row>
      <xdr:rowOff>228600</xdr:rowOff>
    </xdr:from>
    <xdr:to>
      <xdr:col>32</xdr:col>
      <xdr:colOff>12700</xdr:colOff>
      <xdr:row>19</xdr:row>
      <xdr:rowOff>0</xdr:rowOff>
    </xdr:to>
    <xdr:sp macro="" textlink="">
      <xdr:nvSpPr>
        <xdr:cNvPr id="22" name="Afrundet rektangel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925300" y="4686300"/>
          <a:ext cx="393700" cy="2794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a-DK" sz="1400" b="1">
              <a:solidFill>
                <a:schemeClr val="tx1"/>
              </a:solidFill>
            </a:rPr>
            <a:t>X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101600</xdr:colOff>
          <xdr:row>1</xdr:row>
          <xdr:rowOff>0</xdr:rowOff>
        </xdr:from>
        <xdr:to>
          <xdr:col>24</xdr:col>
          <xdr:colOff>850900</xdr:colOff>
          <xdr:row>1</xdr:row>
          <xdr:rowOff>241300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a-DK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Formler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101600</xdr:colOff>
          <xdr:row>2</xdr:row>
          <xdr:rowOff>38100</xdr:rowOff>
        </xdr:from>
        <xdr:to>
          <xdr:col>24</xdr:col>
          <xdr:colOff>838200</xdr:colOff>
          <xdr:row>3</xdr:row>
          <xdr:rowOff>12700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a-DK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Skjul formel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7F5F-66F6-478B-82BE-B739FDD8A278}">
  <sheetPr codeName="Ark1"/>
  <dimension ref="B2:AP39"/>
  <sheetViews>
    <sheetView showGridLines="0" tabSelected="1" zoomScaleNormal="100" workbookViewId="0">
      <selection activeCell="N7" sqref="N7:Q7"/>
    </sheetView>
  </sheetViews>
  <sheetFormatPr baseColWidth="10" defaultColWidth="9" defaultRowHeight="16"/>
  <cols>
    <col min="1" max="1" width="3" style="1" customWidth="1"/>
    <col min="2" max="2" width="4.6640625" style="2" customWidth="1"/>
    <col min="3" max="3" width="6.1640625" style="2" customWidth="1"/>
    <col min="4" max="5" width="5.33203125" style="2" customWidth="1"/>
    <col min="6" max="8" width="4.6640625" style="2" customWidth="1"/>
    <col min="9" max="9" width="7.5" style="2" customWidth="1"/>
    <col min="10" max="10" width="4.33203125" style="2" hidden="1" customWidth="1"/>
    <col min="11" max="11" width="4.33203125" style="2" customWidth="1"/>
    <col min="12" max="13" width="4.6640625" style="2" customWidth="1"/>
    <col min="14" max="14" width="6" style="2" bestFit="1" customWidth="1"/>
    <col min="15" max="16" width="4.6640625" style="2" customWidth="1"/>
    <col min="17" max="17" width="4.6640625" style="2" hidden="1" customWidth="1"/>
    <col min="18" max="20" width="4.6640625" style="2" customWidth="1"/>
    <col min="21" max="21" width="4.6640625" style="2" hidden="1" customWidth="1"/>
    <col min="22" max="23" width="4.6640625" style="2" customWidth="1"/>
    <col min="24" max="24" width="5.6640625" style="2" customWidth="1"/>
    <col min="25" max="25" width="11.33203125" style="2" customWidth="1"/>
    <col min="26" max="26" width="12.83203125" style="1" customWidth="1"/>
    <col min="27" max="27" width="5.5" style="1" customWidth="1"/>
    <col min="28" max="28" width="6.83203125" style="1" customWidth="1"/>
    <col min="29" max="29" width="5.5" style="1" customWidth="1"/>
    <col min="30" max="30" width="5.83203125" style="1" customWidth="1"/>
    <col min="31" max="31" width="13.6640625" style="1" customWidth="1"/>
    <col min="32" max="32" width="5" style="1" customWidth="1"/>
    <col min="33" max="33" width="4.33203125" style="1" customWidth="1"/>
    <col min="34" max="34" width="6.1640625" style="1" customWidth="1"/>
    <col min="35" max="35" width="2.1640625" style="1" customWidth="1"/>
    <col min="36" max="36" width="4.6640625" style="1" customWidth="1"/>
    <col min="37" max="37" width="1.6640625" style="1" customWidth="1"/>
    <col min="38" max="38" width="7.83203125" style="1" customWidth="1"/>
    <col min="39" max="39" width="3" style="1" customWidth="1"/>
    <col min="40" max="40" width="9" style="1" customWidth="1"/>
    <col min="41" max="41" width="3.1640625" style="1" customWidth="1"/>
    <col min="42" max="43" width="9" style="1" customWidth="1"/>
    <col min="44" max="16384" width="9" style="1"/>
  </cols>
  <sheetData>
    <row r="2" spans="2:40" ht="20" customHeight="1">
      <c r="B2" s="64" t="s">
        <v>33</v>
      </c>
      <c r="C2" s="65"/>
      <c r="D2" s="64" t="s">
        <v>31</v>
      </c>
      <c r="E2" s="79"/>
      <c r="F2" s="79"/>
      <c r="G2" s="79"/>
      <c r="H2" s="79"/>
      <c r="I2" s="65"/>
      <c r="J2" s="64" t="s">
        <v>0</v>
      </c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24" t="s">
        <v>49</v>
      </c>
      <c r="W2" s="83" t="s">
        <v>48</v>
      </c>
      <c r="X2" s="83"/>
      <c r="AA2" s="9"/>
      <c r="AB2" s="10"/>
      <c r="AC2" s="9"/>
      <c r="AD2" s="9"/>
      <c r="AE2" s="9"/>
      <c r="AF2" s="9"/>
      <c r="AG2" s="10"/>
      <c r="AH2" s="9"/>
      <c r="AI2" s="9"/>
      <c r="AJ2" s="11"/>
      <c r="AK2" s="11"/>
    </row>
    <row r="3" spans="2:40" ht="20" customHeight="1">
      <c r="B3" s="77">
        <v>44197</v>
      </c>
      <c r="C3" s="72"/>
      <c r="D3" s="70" t="s">
        <v>32</v>
      </c>
      <c r="E3" s="71"/>
      <c r="F3" s="71"/>
      <c r="G3" s="71"/>
      <c r="H3" s="71"/>
      <c r="I3" s="72"/>
      <c r="J3" s="78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25"/>
      <c r="W3" s="83" t="str">
        <f>IF(N11&lt;&gt;"",ROUND(113/E39*(V7-E38-V3),1),"")</f>
        <v/>
      </c>
      <c r="X3" s="83"/>
      <c r="AA3" s="9"/>
      <c r="AB3" s="9"/>
      <c r="AC3" s="9"/>
      <c r="AD3" s="9"/>
      <c r="AG3" s="10"/>
      <c r="AJ3" s="11"/>
      <c r="AK3" s="11"/>
    </row>
    <row r="4" spans="2:40" ht="20" customHeight="1">
      <c r="B4" s="66" t="s">
        <v>40</v>
      </c>
      <c r="C4" s="67"/>
      <c r="D4" s="66" t="s">
        <v>30</v>
      </c>
      <c r="E4" s="75"/>
      <c r="F4" s="75"/>
      <c r="G4" s="75"/>
      <c r="H4" s="75"/>
      <c r="I4" s="67"/>
      <c r="J4" s="66" t="s">
        <v>9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80" t="s">
        <v>1</v>
      </c>
      <c r="W4" s="81"/>
      <c r="X4" s="82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2:40" ht="20" customHeight="1">
      <c r="B5" s="70">
        <v>18</v>
      </c>
      <c r="C5" s="72"/>
      <c r="D5" s="78"/>
      <c r="E5" s="73"/>
      <c r="F5" s="73"/>
      <c r="G5" s="73"/>
      <c r="H5" s="73"/>
      <c r="I5" s="74"/>
      <c r="J5" s="78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84" t="str">
        <f>IF(N11&lt;&gt;"",R35,"")</f>
        <v/>
      </c>
      <c r="W5" s="85"/>
      <c r="X5" s="86"/>
    </row>
    <row r="6" spans="2:40" ht="20" customHeight="1">
      <c r="B6" s="21" t="s">
        <v>18</v>
      </c>
      <c r="C6" s="23" t="s">
        <v>47</v>
      </c>
      <c r="D6" s="75" t="s">
        <v>27</v>
      </c>
      <c r="E6" s="75"/>
      <c r="F6" s="75"/>
      <c r="G6" s="75"/>
      <c r="H6" s="75"/>
      <c r="I6" s="67"/>
      <c r="J6" s="66" t="s">
        <v>44</v>
      </c>
      <c r="K6" s="75"/>
      <c r="L6" s="75"/>
      <c r="M6" s="67"/>
      <c r="N6" s="66" t="s">
        <v>34</v>
      </c>
      <c r="O6" s="75"/>
      <c r="P6" s="75"/>
      <c r="Q6" s="75"/>
      <c r="R6" s="66" t="s">
        <v>19</v>
      </c>
      <c r="S6" s="75"/>
      <c r="T6" s="75"/>
      <c r="U6" s="75"/>
      <c r="V6" s="80" t="s">
        <v>29</v>
      </c>
      <c r="W6" s="81"/>
      <c r="X6" s="82"/>
    </row>
    <row r="7" spans="2:40" ht="20" customHeight="1">
      <c r="B7" s="22">
        <v>2</v>
      </c>
      <c r="C7" s="96" t="s">
        <v>13</v>
      </c>
      <c r="D7" s="73" t="s">
        <v>28</v>
      </c>
      <c r="E7" s="73"/>
      <c r="F7" s="73"/>
      <c r="G7" s="73"/>
      <c r="H7" s="73"/>
      <c r="I7" s="74"/>
      <c r="J7" s="70" t="s">
        <v>45</v>
      </c>
      <c r="K7" s="71"/>
      <c r="L7" s="71"/>
      <c r="M7" s="72"/>
      <c r="N7" s="70">
        <v>27.1</v>
      </c>
      <c r="O7" s="71"/>
      <c r="P7" s="71"/>
      <c r="Q7" s="71"/>
      <c r="R7" s="78">
        <f>AB10</f>
        <v>31</v>
      </c>
      <c r="S7" s="73"/>
      <c r="T7" s="73"/>
      <c r="U7" s="73"/>
      <c r="V7" s="84" t="str">
        <f>IF(N11&lt;&gt;"",T35,"")</f>
        <v/>
      </c>
      <c r="W7" s="85"/>
      <c r="X7" s="86"/>
    </row>
    <row r="9" spans="2:40" ht="33" customHeight="1">
      <c r="B9" s="69"/>
      <c r="C9" s="69"/>
      <c r="D9" s="69" t="s">
        <v>26</v>
      </c>
      <c r="E9" s="69"/>
      <c r="F9" s="69"/>
      <c r="G9" s="69"/>
      <c r="H9" s="69"/>
      <c r="I9" s="69"/>
      <c r="J9" s="76" t="s">
        <v>6</v>
      </c>
      <c r="K9" s="57"/>
      <c r="L9" s="57"/>
      <c r="M9" s="57"/>
      <c r="N9" s="50"/>
      <c r="O9" s="57"/>
      <c r="P9" s="57"/>
      <c r="Q9" s="57"/>
      <c r="R9" s="57"/>
      <c r="S9" s="57"/>
      <c r="T9" s="50"/>
      <c r="U9" s="57"/>
      <c r="V9" s="69" t="s">
        <v>7</v>
      </c>
      <c r="W9" s="69"/>
      <c r="X9" s="69"/>
    </row>
    <row r="10" spans="2:40" s="3" customFormat="1" ht="26.25" customHeight="1">
      <c r="B10" s="6" t="s">
        <v>2</v>
      </c>
      <c r="C10" s="6" t="s">
        <v>39</v>
      </c>
      <c r="D10" s="5">
        <v>1</v>
      </c>
      <c r="E10" s="5">
        <v>2</v>
      </c>
      <c r="F10" s="6">
        <v>3</v>
      </c>
      <c r="G10" s="6">
        <v>4</v>
      </c>
      <c r="H10" s="6" t="s">
        <v>3</v>
      </c>
      <c r="I10" s="6" t="s">
        <v>4</v>
      </c>
      <c r="J10" s="6" t="s">
        <v>19</v>
      </c>
      <c r="K10" s="6" t="s">
        <v>19</v>
      </c>
      <c r="L10" s="6" t="s">
        <v>21</v>
      </c>
      <c r="M10" s="38"/>
      <c r="N10" s="8" t="s">
        <v>5</v>
      </c>
      <c r="O10" s="87" t="s">
        <v>46</v>
      </c>
      <c r="P10" s="88"/>
      <c r="Q10" s="39" t="s">
        <v>38</v>
      </c>
      <c r="R10" s="17" t="s">
        <v>22</v>
      </c>
      <c r="S10" s="6" t="str">
        <f>IF(SUM(S11:S19)&gt;0,"Max + 5","")</f>
        <v/>
      </c>
      <c r="T10" s="46" t="s">
        <v>20</v>
      </c>
      <c r="U10" s="45" t="s">
        <v>35</v>
      </c>
      <c r="V10" s="8"/>
      <c r="W10" s="6"/>
      <c r="X10" s="6"/>
      <c r="Y10" s="4"/>
      <c r="AB10" s="9">
        <f>ROUND(N7*AE10+(AH10-AL10),0)</f>
        <v>31</v>
      </c>
      <c r="AC10" s="1"/>
      <c r="AD10" s="1"/>
      <c r="AE10" s="13">
        <f>IF(C7="H",IF(B7=1,D39,IF(B7=2,E39,IF(B7=3,F39,IF(B7=4,G39,"Forkert Tee")))),IF(B7=1,D37,IF(B7=2,E37,IF(B7=3,F37,IF(B7=4,G37,"Forkert Tee")))))/113</f>
        <v>1.1504424778761062</v>
      </c>
      <c r="AF10" s="1"/>
      <c r="AG10" s="1"/>
      <c r="AH10" s="9">
        <f>IF(C7="H",IF(B7=1,D38,IF(B7=2,E38,IF(B7=3,F38,IF(B7=4,G38,"Forkert Tee")))),IF(B7=1,D36,IF(B7=2,E36,IF(B7=3,F36,IF(B7=4,G36,"Forkert Tee")))))</f>
        <v>72</v>
      </c>
      <c r="AI10" s="9"/>
      <c r="AJ10" s="10" t="s">
        <v>36</v>
      </c>
      <c r="AK10" s="10"/>
      <c r="AL10" s="9">
        <f>H35</f>
        <v>72</v>
      </c>
    </row>
    <row r="11" spans="2:40" ht="20" customHeight="1">
      <c r="B11" s="7">
        <v>1</v>
      </c>
      <c r="C11" s="7"/>
      <c r="D11" s="29">
        <v>362</v>
      </c>
      <c r="E11" s="29">
        <v>310</v>
      </c>
      <c r="F11" s="29"/>
      <c r="G11" s="29"/>
      <c r="H11" s="29">
        <v>4</v>
      </c>
      <c r="I11" s="29">
        <v>7</v>
      </c>
      <c r="J11" s="5">
        <f>IF($R$7&gt;=I11,1,0)+IF(I11&lt;=$R$7-18,1,0)+IF(I11&lt;=$R$7-36,1,0)+IF(I11&lt;=$R$7-54,1,0)+IF(I11&lt;=$R$7-72,1,0)+IF(I11&lt;=$R$7-90,1,0)+IF(I11&lt;=$R$7-108,1,0)</f>
        <v>2</v>
      </c>
      <c r="K11" s="5" t="str">
        <f>IF(J11=1,"I",IF(J11=2,"II",IF(J11=3,"III",IF(J11=4,"IIII",IF(J11=5,"IIIII",IF(J11=6,"IIIIII",""))))))</f>
        <v>II</v>
      </c>
      <c r="L11" s="5">
        <f t="shared" ref="L11:L19" si="0">MIN(H11+J11+2,H11+5)</f>
        <v>8</v>
      </c>
      <c r="M11" s="41"/>
      <c r="N11" s="32"/>
      <c r="O11" s="55" t="str">
        <f>_xlfn.CONCAT("(",$L11,"-",$N11,")"," =")</f>
        <v>(8-) =</v>
      </c>
      <c r="P11" s="56"/>
      <c r="Q11" s="30">
        <f t="shared" ref="Q11:Q19" si="1">IF(N11=0,L11,MIN(N11,H11+5))</f>
        <v>8</v>
      </c>
      <c r="R11" s="31" t="str">
        <f t="shared" ref="R11:R19" si="2">IF(N11&lt;&gt;"",IF(N11=0,0,MAX(H11+J11+2-N11,0)),"")</f>
        <v/>
      </c>
      <c r="S11" s="43" t="str">
        <f t="shared" ref="S11:S19" si="3">IF(R11&lt;&gt;U11,U11,"")</f>
        <v/>
      </c>
      <c r="T11" s="44" t="str">
        <f>IF($N11&lt;&gt;"",IF($N11=0,$L11,MIN($L11,$N11)),"")</f>
        <v/>
      </c>
      <c r="U11" s="30" t="str">
        <f t="shared" ref="U11:U19" si="4">IF(N11&lt;&gt;"",MAX(H11+J11+2-Q11,0),"")</f>
        <v/>
      </c>
      <c r="V11" s="7"/>
      <c r="W11" s="7"/>
      <c r="X11" s="7"/>
      <c r="AD11" s="12"/>
      <c r="AI11" s="89"/>
      <c r="AJ11" s="89"/>
      <c r="AK11" s="89"/>
    </row>
    <row r="12" spans="2:40" ht="20" customHeight="1">
      <c r="B12" s="7">
        <v>2</v>
      </c>
      <c r="C12" s="7"/>
      <c r="D12" s="29">
        <v>440</v>
      </c>
      <c r="E12" s="29">
        <v>369</v>
      </c>
      <c r="F12" s="29"/>
      <c r="G12" s="29"/>
      <c r="H12" s="29">
        <v>5</v>
      </c>
      <c r="I12" s="29">
        <v>5</v>
      </c>
      <c r="J12" s="5">
        <f t="shared" ref="J12:J19" si="5">IF($R$7&gt;=I12,1,0)+IF(I12&lt;=$R$7-18,1,0)+IF(I12&lt;=$R$7-36,1,0)+IF(I12&lt;=$R$7-54,1,0)+IF(I12&lt;=$R$7-72,1,0)+IF(I12&lt;=$R$7-90,1,0)+IF(I12&lt;=$R$7-108,1,0)</f>
        <v>2</v>
      </c>
      <c r="K12" s="5" t="str">
        <f t="shared" ref="K12:K19" si="6">IF(J12=1,"I",IF(J12=2,"II",IF(J12=3,"III",IF(J12=4,"IIII",IF(J12=5,"IIIII",IF(J12=6,"IIIIII",""))))))</f>
        <v>II</v>
      </c>
      <c r="L12" s="5">
        <f t="shared" si="0"/>
        <v>9</v>
      </c>
      <c r="M12" s="41"/>
      <c r="N12" s="32"/>
      <c r="O12" s="55" t="str">
        <f t="shared" ref="O12:O19" si="7">_xlfn.CONCAT("(",$L12,"-",$N12,")"," =")</f>
        <v>(9-) =</v>
      </c>
      <c r="P12" s="56"/>
      <c r="Q12" s="30">
        <f t="shared" si="1"/>
        <v>9</v>
      </c>
      <c r="R12" s="31" t="str">
        <f t="shared" si="2"/>
        <v/>
      </c>
      <c r="S12" s="43" t="str">
        <f t="shared" si="3"/>
        <v/>
      </c>
      <c r="T12" s="44" t="str">
        <f t="shared" ref="T12:T19" si="8">IF($N12&lt;&gt;"",IF($N12=0,$L12,MIN($L12,$N12)),"")</f>
        <v/>
      </c>
      <c r="U12" s="30" t="str">
        <f t="shared" si="4"/>
        <v/>
      </c>
      <c r="V12" s="7"/>
      <c r="W12" s="7"/>
      <c r="X12" s="7"/>
    </row>
    <row r="13" spans="2:40" ht="20" customHeight="1">
      <c r="B13" s="7">
        <v>3</v>
      </c>
      <c r="C13" s="7"/>
      <c r="D13" s="29">
        <v>355</v>
      </c>
      <c r="E13" s="29">
        <v>297</v>
      </c>
      <c r="F13" s="29"/>
      <c r="G13" s="29"/>
      <c r="H13" s="29">
        <v>4</v>
      </c>
      <c r="I13" s="29">
        <v>9</v>
      </c>
      <c r="J13" s="5">
        <f t="shared" si="5"/>
        <v>2</v>
      </c>
      <c r="K13" s="5" t="str">
        <f t="shared" si="6"/>
        <v>II</v>
      </c>
      <c r="L13" s="5">
        <f t="shared" si="0"/>
        <v>8</v>
      </c>
      <c r="M13" s="41"/>
      <c r="N13" s="32"/>
      <c r="O13" s="55" t="str">
        <f t="shared" si="7"/>
        <v>(8-) =</v>
      </c>
      <c r="P13" s="56"/>
      <c r="Q13" s="30">
        <f t="shared" si="1"/>
        <v>8</v>
      </c>
      <c r="R13" s="31" t="str">
        <f t="shared" si="2"/>
        <v/>
      </c>
      <c r="S13" s="43" t="str">
        <f t="shared" si="3"/>
        <v/>
      </c>
      <c r="T13" s="44" t="str">
        <f t="shared" si="8"/>
        <v/>
      </c>
      <c r="U13" s="30" t="str">
        <f t="shared" si="4"/>
        <v/>
      </c>
      <c r="V13" s="7"/>
      <c r="W13" s="7"/>
      <c r="X13" s="7"/>
    </row>
    <row r="14" spans="2:40" ht="20" customHeight="1">
      <c r="B14" s="7">
        <v>4</v>
      </c>
      <c r="C14" s="7"/>
      <c r="D14" s="29">
        <v>281</v>
      </c>
      <c r="E14" s="29">
        <v>263</v>
      </c>
      <c r="F14" s="29"/>
      <c r="G14" s="29"/>
      <c r="H14" s="29">
        <v>4</v>
      </c>
      <c r="I14" s="29">
        <v>11</v>
      </c>
      <c r="J14" s="5">
        <f t="shared" si="5"/>
        <v>2</v>
      </c>
      <c r="K14" s="5" t="str">
        <f t="shared" si="6"/>
        <v>II</v>
      </c>
      <c r="L14" s="5">
        <f t="shared" si="0"/>
        <v>8</v>
      </c>
      <c r="M14" s="41"/>
      <c r="N14" s="32"/>
      <c r="O14" s="55" t="str">
        <f t="shared" si="7"/>
        <v>(8-) =</v>
      </c>
      <c r="P14" s="56"/>
      <c r="Q14" s="30">
        <f t="shared" si="1"/>
        <v>8</v>
      </c>
      <c r="R14" s="31" t="str">
        <f t="shared" si="2"/>
        <v/>
      </c>
      <c r="S14" s="43" t="str">
        <f t="shared" si="3"/>
        <v/>
      </c>
      <c r="T14" s="44" t="str">
        <f t="shared" si="8"/>
        <v/>
      </c>
      <c r="U14" s="30" t="str">
        <f t="shared" si="4"/>
        <v/>
      </c>
      <c r="V14" s="7"/>
      <c r="W14" s="7"/>
      <c r="X14" s="7"/>
      <c r="Z14" s="11" t="s">
        <v>41</v>
      </c>
    </row>
    <row r="15" spans="2:40" ht="20" customHeight="1">
      <c r="B15" s="7">
        <v>5</v>
      </c>
      <c r="C15" s="7"/>
      <c r="D15" s="29">
        <v>275</v>
      </c>
      <c r="E15" s="29">
        <v>227</v>
      </c>
      <c r="F15" s="29"/>
      <c r="G15" s="29"/>
      <c r="H15" s="29">
        <v>4</v>
      </c>
      <c r="I15" s="29">
        <v>13</v>
      </c>
      <c r="J15" s="5">
        <f t="shared" si="5"/>
        <v>2</v>
      </c>
      <c r="K15" s="5" t="str">
        <f t="shared" si="6"/>
        <v>II</v>
      </c>
      <c r="L15" s="5">
        <f t="shared" si="0"/>
        <v>8</v>
      </c>
      <c r="M15" s="41"/>
      <c r="N15" s="32"/>
      <c r="O15" s="55" t="str">
        <f t="shared" si="7"/>
        <v>(8-) =</v>
      </c>
      <c r="P15" s="56"/>
      <c r="Q15" s="30">
        <f t="shared" si="1"/>
        <v>8</v>
      </c>
      <c r="R15" s="31" t="str">
        <f t="shared" si="2"/>
        <v/>
      </c>
      <c r="S15" s="43" t="str">
        <f t="shared" si="3"/>
        <v/>
      </c>
      <c r="T15" s="44" t="str">
        <f t="shared" si="8"/>
        <v/>
      </c>
      <c r="U15" s="30" t="str">
        <f t="shared" si="4"/>
        <v/>
      </c>
      <c r="V15" s="7"/>
      <c r="W15" s="7"/>
      <c r="X15" s="7"/>
      <c r="AB15" s="14">
        <f>ROUND(AE15*(AH15-AL15-AN15),1)</f>
        <v>-62.6</v>
      </c>
      <c r="AE15" s="13">
        <f>113/IF(C7="H",IF(B7=1,D39,IF(B7=2,E39,IF(B7=3,F39,IF(B7=4,G39,"Forkert Tee")))),IF(B7=1,D37,IF(B7=2,E37,IF(B7=3,F37,IF(B7=4,G37,"Forkert Tee")))))</f>
        <v>0.86923076923076925</v>
      </c>
      <c r="AH15" s="9">
        <f>T35</f>
        <v>0</v>
      </c>
      <c r="AI15" s="9"/>
      <c r="AJ15" s="10" t="s">
        <v>36</v>
      </c>
      <c r="AK15" s="10"/>
      <c r="AL15" s="9">
        <f>E38</f>
        <v>72</v>
      </c>
      <c r="AM15" s="28" t="s">
        <v>36</v>
      </c>
      <c r="AN15" s="26">
        <f>IF(V3="",0,V3)</f>
        <v>0</v>
      </c>
    </row>
    <row r="16" spans="2:40" ht="20" customHeight="1">
      <c r="B16" s="7">
        <v>6</v>
      </c>
      <c r="C16" s="7"/>
      <c r="D16" s="29">
        <v>140</v>
      </c>
      <c r="E16" s="29">
        <v>119</v>
      </c>
      <c r="F16" s="29"/>
      <c r="G16" s="29"/>
      <c r="H16" s="29">
        <v>3</v>
      </c>
      <c r="I16" s="29">
        <v>17</v>
      </c>
      <c r="J16" s="5">
        <f t="shared" si="5"/>
        <v>1</v>
      </c>
      <c r="K16" s="5" t="str">
        <f t="shared" si="6"/>
        <v>I</v>
      </c>
      <c r="L16" s="5">
        <f t="shared" si="0"/>
        <v>6</v>
      </c>
      <c r="M16" s="41"/>
      <c r="N16" s="32"/>
      <c r="O16" s="55" t="str">
        <f t="shared" si="7"/>
        <v>(6-) =</v>
      </c>
      <c r="P16" s="56"/>
      <c r="Q16" s="30">
        <f>IF(N16=0,L16,MIN(N16,H16+5))</f>
        <v>6</v>
      </c>
      <c r="R16" s="31" t="str">
        <f t="shared" si="2"/>
        <v/>
      </c>
      <c r="S16" s="43" t="str">
        <f t="shared" si="3"/>
        <v/>
      </c>
      <c r="T16" s="44" t="str">
        <f t="shared" si="8"/>
        <v/>
      </c>
      <c r="U16" s="30" t="str">
        <f>IF(N16&lt;&gt;"",MAX(H16+J16+2-Q16,0),"")</f>
        <v/>
      </c>
      <c r="V16" s="7"/>
      <c r="W16" s="7"/>
      <c r="X16" s="7"/>
      <c r="Z16" s="93" t="s">
        <v>43</v>
      </c>
      <c r="AI16" s="89"/>
      <c r="AJ16" s="89"/>
      <c r="AK16" s="89"/>
    </row>
    <row r="17" spans="2:42" ht="20" customHeight="1">
      <c r="B17" s="7">
        <v>7</v>
      </c>
      <c r="C17" s="7"/>
      <c r="D17" s="29">
        <v>508</v>
      </c>
      <c r="E17" s="29">
        <v>415</v>
      </c>
      <c r="F17" s="29"/>
      <c r="G17" s="29"/>
      <c r="H17" s="29">
        <v>5</v>
      </c>
      <c r="I17" s="29">
        <v>1</v>
      </c>
      <c r="J17" s="5">
        <f t="shared" si="5"/>
        <v>2</v>
      </c>
      <c r="K17" s="5" t="str">
        <f t="shared" si="6"/>
        <v>II</v>
      </c>
      <c r="L17" s="5">
        <f t="shared" si="0"/>
        <v>9</v>
      </c>
      <c r="M17" s="41"/>
      <c r="N17" s="32"/>
      <c r="O17" s="55" t="str">
        <f t="shared" si="7"/>
        <v>(9-) =</v>
      </c>
      <c r="P17" s="56"/>
      <c r="Q17" s="30">
        <f t="shared" si="1"/>
        <v>9</v>
      </c>
      <c r="R17" s="31" t="str">
        <f t="shared" si="2"/>
        <v/>
      </c>
      <c r="S17" s="43" t="str">
        <f>IF(R17&lt;&gt;U17,U17,"")</f>
        <v/>
      </c>
      <c r="T17" s="44" t="str">
        <f t="shared" si="8"/>
        <v/>
      </c>
      <c r="U17" s="30" t="str">
        <f t="shared" si="4"/>
        <v/>
      </c>
      <c r="V17" s="7"/>
      <c r="W17" s="7"/>
      <c r="X17" s="7"/>
      <c r="Z17" s="93"/>
    </row>
    <row r="18" spans="2:42" ht="20" customHeight="1">
      <c r="B18" s="7">
        <v>8</v>
      </c>
      <c r="C18" s="7"/>
      <c r="D18" s="29">
        <v>179</v>
      </c>
      <c r="E18" s="29">
        <v>159</v>
      </c>
      <c r="F18" s="29"/>
      <c r="G18" s="29"/>
      <c r="H18" s="29">
        <v>3</v>
      </c>
      <c r="I18" s="29">
        <v>15</v>
      </c>
      <c r="J18" s="5">
        <f t="shared" si="5"/>
        <v>1</v>
      </c>
      <c r="K18" s="5" t="str">
        <f t="shared" si="6"/>
        <v>I</v>
      </c>
      <c r="L18" s="5">
        <f t="shared" si="0"/>
        <v>6</v>
      </c>
      <c r="M18" s="41"/>
      <c r="N18" s="32"/>
      <c r="O18" s="55" t="str">
        <f t="shared" si="7"/>
        <v>(6-) =</v>
      </c>
      <c r="P18" s="56"/>
      <c r="Q18" s="30">
        <f t="shared" si="1"/>
        <v>6</v>
      </c>
      <c r="R18" s="31" t="str">
        <f t="shared" si="2"/>
        <v/>
      </c>
      <c r="S18" s="43" t="str">
        <f t="shared" si="3"/>
        <v/>
      </c>
      <c r="T18" s="44" t="str">
        <f t="shared" si="8"/>
        <v/>
      </c>
      <c r="U18" s="30" t="str">
        <f t="shared" si="4"/>
        <v/>
      </c>
      <c r="V18" s="7"/>
      <c r="W18" s="7"/>
      <c r="X18" s="7"/>
    </row>
    <row r="19" spans="2:42" ht="20" customHeight="1">
      <c r="B19" s="7">
        <v>9</v>
      </c>
      <c r="C19" s="7"/>
      <c r="D19" s="29">
        <v>358</v>
      </c>
      <c r="E19" s="29">
        <v>295</v>
      </c>
      <c r="F19" s="29"/>
      <c r="G19" s="29"/>
      <c r="H19" s="29">
        <v>4</v>
      </c>
      <c r="I19" s="29">
        <v>3</v>
      </c>
      <c r="J19" s="5">
        <f t="shared" si="5"/>
        <v>2</v>
      </c>
      <c r="K19" s="5" t="str">
        <f t="shared" si="6"/>
        <v>II</v>
      </c>
      <c r="L19" s="5">
        <f t="shared" si="0"/>
        <v>8</v>
      </c>
      <c r="M19" s="41"/>
      <c r="N19" s="32"/>
      <c r="O19" s="55" t="str">
        <f t="shared" si="7"/>
        <v>(8-) =</v>
      </c>
      <c r="P19" s="56"/>
      <c r="Q19" s="30">
        <f t="shared" si="1"/>
        <v>8</v>
      </c>
      <c r="R19" s="31" t="str">
        <f t="shared" si="2"/>
        <v/>
      </c>
      <c r="S19" s="43" t="str">
        <f t="shared" si="3"/>
        <v/>
      </c>
      <c r="T19" s="44" t="str">
        <f t="shared" si="8"/>
        <v/>
      </c>
      <c r="U19" s="30" t="str">
        <f t="shared" si="4"/>
        <v/>
      </c>
      <c r="V19" s="7"/>
      <c r="W19" s="7"/>
      <c r="X19" s="7"/>
      <c r="Z19" s="11" t="s">
        <v>42</v>
      </c>
    </row>
    <row r="20" spans="2:42" ht="20" customHeight="1">
      <c r="B20" s="68" t="s">
        <v>8</v>
      </c>
      <c r="C20" s="68"/>
      <c r="D20" s="7">
        <f>SUM(D11:D19)</f>
        <v>2898</v>
      </c>
      <c r="E20" s="7">
        <f>SUM(E11:E19)</f>
        <v>2454</v>
      </c>
      <c r="F20" s="48">
        <f t="shared" ref="F20:G20" si="9">SUM(F11:F19)</f>
        <v>0</v>
      </c>
      <c r="G20" s="48">
        <f t="shared" si="9"/>
        <v>0</v>
      </c>
      <c r="H20" s="7">
        <f>SUM(H11:H19)</f>
        <v>36</v>
      </c>
      <c r="I20" s="68" t="s">
        <v>8</v>
      </c>
      <c r="J20" s="68"/>
      <c r="K20" s="7"/>
      <c r="L20" s="7"/>
      <c r="M20" s="7"/>
      <c r="N20" s="31" t="str">
        <f>IF(COUNTIF($N$11:$N$19,"&gt;0")&lt;9,"",SUM(N11:N19))</f>
        <v/>
      </c>
      <c r="O20" s="90"/>
      <c r="P20" s="56"/>
      <c r="Q20" s="7">
        <f>SUM(Q11:Q19)</f>
        <v>70</v>
      </c>
      <c r="R20" s="31">
        <f>SUM(R11:R19)</f>
        <v>0</v>
      </c>
      <c r="S20" s="43"/>
      <c r="T20" s="44">
        <f>SUM(T11:T19)</f>
        <v>0</v>
      </c>
      <c r="U20" s="30">
        <f>SUM(U11:U19)</f>
        <v>0</v>
      </c>
      <c r="V20" s="7"/>
      <c r="W20" s="7"/>
      <c r="X20" s="7"/>
      <c r="AB20" s="9">
        <f>ROUND((AH20+AJ20-AL20-AN20-AP20)*AE20,1)</f>
        <v>58.2</v>
      </c>
      <c r="AE20" s="13">
        <f>113/IF(C7="H",IF(B7=1,D39,IF(B7=2,E39,IF(B7=3,F39,IF(B7=4,G39,"Forkert Tee")))),IF(B7=1,D37,IF(B7=2,E37,IF(B7=3,F37,IF(B7=4,G37,"Forkert Tee")))))</f>
        <v>0.86923076923076925</v>
      </c>
      <c r="AH20" s="9">
        <f>H35</f>
        <v>72</v>
      </c>
      <c r="AI20" s="10" t="s">
        <v>37</v>
      </c>
      <c r="AJ20" s="10">
        <f>R7</f>
        <v>31</v>
      </c>
      <c r="AK20" s="10" t="s">
        <v>36</v>
      </c>
      <c r="AL20" s="9">
        <f>U35-36</f>
        <v>-36</v>
      </c>
      <c r="AM20" s="10" t="s">
        <v>36</v>
      </c>
      <c r="AN20" s="9">
        <f>E38</f>
        <v>72</v>
      </c>
      <c r="AO20" s="28" t="s">
        <v>36</v>
      </c>
      <c r="AP20" s="26">
        <f>IF(V3="",0,V3)</f>
        <v>0</v>
      </c>
    </row>
    <row r="21" spans="2:42" ht="19">
      <c r="AI21" s="95">
        <f>AH20+AJ20-AL20</f>
        <v>139</v>
      </c>
      <c r="AJ21" s="95"/>
      <c r="AK21" s="95"/>
      <c r="AL21" s="18"/>
      <c r="AM21" s="19"/>
      <c r="AN21" s="20"/>
    </row>
    <row r="22" spans="2:42" ht="33" customHeight="1">
      <c r="B22" s="69"/>
      <c r="C22" s="69"/>
      <c r="D22" s="69" t="s">
        <v>26</v>
      </c>
      <c r="E22" s="69"/>
      <c r="F22" s="69"/>
      <c r="G22" s="69"/>
      <c r="H22" s="69"/>
      <c r="I22" s="69"/>
      <c r="J22" s="76" t="s">
        <v>6</v>
      </c>
      <c r="K22" s="57"/>
      <c r="L22" s="57"/>
      <c r="M22" s="57"/>
      <c r="N22" s="50"/>
      <c r="O22" s="57"/>
      <c r="P22" s="57"/>
      <c r="Q22" s="57"/>
      <c r="R22" s="57"/>
      <c r="S22" s="57"/>
      <c r="T22" s="50"/>
      <c r="U22" s="57"/>
      <c r="V22" s="69" t="s">
        <v>7</v>
      </c>
      <c r="W22" s="69"/>
      <c r="X22" s="69"/>
      <c r="AA22" s="94"/>
      <c r="AB22" s="94"/>
      <c r="AC22" s="94"/>
    </row>
    <row r="23" spans="2:42" ht="26" customHeight="1">
      <c r="B23" s="6" t="s">
        <v>2</v>
      </c>
      <c r="C23" s="6"/>
      <c r="D23" s="5">
        <v>1</v>
      </c>
      <c r="E23" s="5">
        <v>2</v>
      </c>
      <c r="F23" s="6">
        <v>3</v>
      </c>
      <c r="G23" s="6">
        <v>4</v>
      </c>
      <c r="H23" s="6" t="s">
        <v>3</v>
      </c>
      <c r="I23" s="6" t="s">
        <v>4</v>
      </c>
      <c r="J23" s="8" t="s">
        <v>19</v>
      </c>
      <c r="K23" s="8" t="s">
        <v>19</v>
      </c>
      <c r="L23" s="6" t="s">
        <v>21</v>
      </c>
      <c r="M23" s="40"/>
      <c r="N23" s="15" t="s">
        <v>5</v>
      </c>
      <c r="O23" s="57"/>
      <c r="P23" s="58"/>
      <c r="Q23" s="40"/>
      <c r="R23" s="27" t="s">
        <v>22</v>
      </c>
      <c r="S23" s="6"/>
      <c r="T23" s="46" t="s">
        <v>20</v>
      </c>
      <c r="U23" s="45"/>
      <c r="V23" s="8"/>
      <c r="W23" s="6"/>
      <c r="X23" s="6"/>
    </row>
    <row r="24" spans="2:42" ht="20" customHeight="1">
      <c r="B24" s="7">
        <v>10</v>
      </c>
      <c r="C24" s="7"/>
      <c r="D24" s="29">
        <v>335</v>
      </c>
      <c r="E24" s="29">
        <v>291</v>
      </c>
      <c r="F24" s="29"/>
      <c r="G24" s="29"/>
      <c r="H24" s="29">
        <v>4</v>
      </c>
      <c r="I24" s="29">
        <v>12</v>
      </c>
      <c r="J24" s="5">
        <f t="shared" ref="J24:J32" si="10">IF($R$7&gt;=I24,1,0)+IF(I24&lt;=$R$7-18,1,0)+IF(I24&lt;=$R$7-36,1,0)+IF(I24&lt;=$R$7-54,1,0)+IF(I24&lt;=$R$7-72,1,0)+IF(I24&lt;=$R$7-90,1,0)+IF(I24&lt;=$R$7-108,1,0)</f>
        <v>2</v>
      </c>
      <c r="K24" s="5" t="str">
        <f t="shared" ref="K24:K32" si="11">IF(J24=1,"I",IF(J24=2,"II",IF(J24=3,"III",IF(J24=4,"IIII",IF(J24=5,"IIIII",IF(J24=6,"IIIIII",""))))))</f>
        <v>II</v>
      </c>
      <c r="L24" s="5">
        <f t="shared" ref="L24:L32" si="12">MIN(H24+J24+2,H24+5)</f>
        <v>8</v>
      </c>
      <c r="M24" s="41"/>
      <c r="N24" s="32"/>
      <c r="O24" s="55" t="str">
        <f t="shared" ref="O24:O32" si="13">_xlfn.CONCAT("(",$L24,"-",$N24,")"," =")</f>
        <v>(8-) =</v>
      </c>
      <c r="P24" s="56"/>
      <c r="Q24" s="30">
        <f t="shared" ref="Q24:Q32" si="14">IF(N24=0,L24,MIN(N24,H24+5))</f>
        <v>8</v>
      </c>
      <c r="R24" s="31" t="str">
        <f>IF(N24&lt;&gt;"",IF(N24=0,0,MAX(H24+J24+2-N24,0)),"")</f>
        <v/>
      </c>
      <c r="S24" s="43" t="str">
        <f t="shared" ref="S24:S32" si="15">IF(R24&lt;&gt;U24,U24,"")</f>
        <v/>
      </c>
      <c r="T24" s="44" t="str">
        <f>IF($B$5=9,H24+J24+1,IF(N24&lt;&gt;"",IF(N24=0,L24,MIN(L24,N24)),""))</f>
        <v/>
      </c>
      <c r="U24" s="30" t="str">
        <f t="shared" ref="U24:U32" si="16">IF(N24&lt;&gt;"",MAX(H24+J24+2-Q24,0),"")</f>
        <v/>
      </c>
      <c r="V24" s="7"/>
      <c r="W24" s="7"/>
      <c r="X24" s="7"/>
    </row>
    <row r="25" spans="2:42" ht="20" customHeight="1">
      <c r="B25" s="7">
        <v>11</v>
      </c>
      <c r="C25" s="7"/>
      <c r="D25" s="29">
        <v>521</v>
      </c>
      <c r="E25" s="29">
        <v>429</v>
      </c>
      <c r="F25" s="29"/>
      <c r="G25" s="29"/>
      <c r="H25" s="29">
        <v>5</v>
      </c>
      <c r="I25" s="29">
        <v>2</v>
      </c>
      <c r="J25" s="5">
        <f t="shared" si="10"/>
        <v>2</v>
      </c>
      <c r="K25" s="5" t="str">
        <f t="shared" si="11"/>
        <v>II</v>
      </c>
      <c r="L25" s="5">
        <f t="shared" si="12"/>
        <v>9</v>
      </c>
      <c r="M25" s="41"/>
      <c r="N25" s="32"/>
      <c r="O25" s="55" t="str">
        <f t="shared" si="13"/>
        <v>(9-) =</v>
      </c>
      <c r="P25" s="56"/>
      <c r="Q25" s="30">
        <f t="shared" si="14"/>
        <v>9</v>
      </c>
      <c r="R25" s="31" t="str">
        <f>IF(N25&lt;&gt;"",IF(N25=0,0,MAX(H25+J25+2-N25,0)),"")</f>
        <v/>
      </c>
      <c r="S25" s="43" t="str">
        <f t="shared" si="15"/>
        <v/>
      </c>
      <c r="T25" s="44" t="str">
        <f>IF($B$5=9,H25+J25,IF(N25&lt;&gt;"",IF(N25=0,L25,MIN(L25,N25)),""))</f>
        <v/>
      </c>
      <c r="U25" s="30" t="str">
        <f t="shared" si="16"/>
        <v/>
      </c>
      <c r="V25" s="7"/>
      <c r="W25" s="7"/>
      <c r="X25" s="7"/>
      <c r="AA25" s="9"/>
      <c r="AB25" s="10"/>
      <c r="AC25" s="9"/>
      <c r="AD25" s="9"/>
      <c r="AE25" s="9"/>
      <c r="AF25" s="9"/>
      <c r="AG25" s="10"/>
      <c r="AH25" s="11"/>
      <c r="AI25" s="11"/>
      <c r="AJ25" s="11"/>
      <c r="AK25" s="11"/>
    </row>
    <row r="26" spans="2:42" ht="20" customHeight="1">
      <c r="B26" s="7">
        <v>12</v>
      </c>
      <c r="C26" s="7"/>
      <c r="D26" s="29">
        <v>123</v>
      </c>
      <c r="E26" s="29">
        <v>123</v>
      </c>
      <c r="F26" s="29"/>
      <c r="G26" s="29"/>
      <c r="H26" s="29">
        <v>3</v>
      </c>
      <c r="I26" s="29">
        <v>16</v>
      </c>
      <c r="J26" s="5">
        <f t="shared" si="10"/>
        <v>1</v>
      </c>
      <c r="K26" s="5" t="str">
        <f t="shared" si="11"/>
        <v>I</v>
      </c>
      <c r="L26" s="5">
        <f t="shared" si="12"/>
        <v>6</v>
      </c>
      <c r="M26" s="41"/>
      <c r="N26" s="32"/>
      <c r="O26" s="55" t="str">
        <f t="shared" si="13"/>
        <v>(6-) =</v>
      </c>
      <c r="P26" s="56"/>
      <c r="Q26" s="30">
        <f t="shared" si="14"/>
        <v>6</v>
      </c>
      <c r="R26" s="31" t="str">
        <f>IF(N26&lt;&gt;"",IF(N26=0,0,MAX(H26+J26+2-N26,0)),"")</f>
        <v/>
      </c>
      <c r="S26" s="43" t="str">
        <f t="shared" si="15"/>
        <v/>
      </c>
      <c r="T26" s="44" t="str">
        <f t="shared" ref="T26" si="17">IF($B$5=9,H26+J26,IF(N26&lt;&gt;"",IF(N26=0,L26,MIN(L26,N26)),""))</f>
        <v/>
      </c>
      <c r="U26" s="30" t="str">
        <f t="shared" si="16"/>
        <v/>
      </c>
      <c r="V26" s="7"/>
      <c r="W26" s="7"/>
      <c r="X26" s="7"/>
      <c r="AA26" s="9"/>
      <c r="AB26" s="9"/>
      <c r="AD26" s="9"/>
      <c r="AG26" s="10"/>
      <c r="AJ26" s="11"/>
      <c r="AK26" s="11"/>
    </row>
    <row r="27" spans="2:42" ht="20" customHeight="1">
      <c r="B27" s="7">
        <v>13</v>
      </c>
      <c r="C27" s="7"/>
      <c r="D27" s="29">
        <v>301</v>
      </c>
      <c r="E27" s="29">
        <v>265</v>
      </c>
      <c r="F27" s="29"/>
      <c r="G27" s="29"/>
      <c r="H27" s="29">
        <v>4</v>
      </c>
      <c r="I27" s="29">
        <v>8</v>
      </c>
      <c r="J27" s="5">
        <f t="shared" si="10"/>
        <v>2</v>
      </c>
      <c r="K27" s="5" t="str">
        <f t="shared" si="11"/>
        <v>II</v>
      </c>
      <c r="L27" s="5">
        <f t="shared" si="12"/>
        <v>8</v>
      </c>
      <c r="M27" s="41"/>
      <c r="N27" s="32"/>
      <c r="O27" s="55" t="str">
        <f t="shared" si="13"/>
        <v>(8-) =</v>
      </c>
      <c r="P27" s="56"/>
      <c r="Q27" s="30">
        <f t="shared" si="14"/>
        <v>8</v>
      </c>
      <c r="R27" s="31" t="str">
        <f>IF(N27&lt;&gt;"",IF(N27=0,0,MAX(H27+J27+2-N27,0)),IF($B$5=12,1,""))</f>
        <v/>
      </c>
      <c r="S27" s="43" t="str">
        <f t="shared" si="15"/>
        <v/>
      </c>
      <c r="T27" s="44" t="str">
        <f>IF($B$5=9,H27+J27,IF($B$5=12,H27+J27+1,IF(N27&lt;&gt;"",IF(N27=0,L27,MIN(L27,N27)),"")))</f>
        <v/>
      </c>
      <c r="U27" s="30" t="str">
        <f t="shared" si="16"/>
        <v/>
      </c>
      <c r="V27" s="16" t="str">
        <f>IF(AND(N27&gt;0,OR($B$5=12)),"Slet tastet score","")</f>
        <v/>
      </c>
      <c r="W27" s="7"/>
      <c r="X27" s="7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2:42" ht="20" customHeight="1">
      <c r="B28" s="7">
        <v>14</v>
      </c>
      <c r="C28" s="7"/>
      <c r="D28" s="29">
        <v>320</v>
      </c>
      <c r="E28" s="29">
        <v>273</v>
      </c>
      <c r="F28" s="29"/>
      <c r="G28" s="29"/>
      <c r="H28" s="29">
        <v>4</v>
      </c>
      <c r="I28" s="29">
        <v>14</v>
      </c>
      <c r="J28" s="5">
        <f t="shared" si="10"/>
        <v>1</v>
      </c>
      <c r="K28" s="5" t="str">
        <f t="shared" si="11"/>
        <v>I</v>
      </c>
      <c r="L28" s="5">
        <f t="shared" si="12"/>
        <v>7</v>
      </c>
      <c r="M28" s="41"/>
      <c r="N28" s="32"/>
      <c r="O28" s="55" t="str">
        <f t="shared" si="13"/>
        <v>(7-) =</v>
      </c>
      <c r="P28" s="56"/>
      <c r="Q28" s="30">
        <f t="shared" si="14"/>
        <v>7</v>
      </c>
      <c r="R28" s="31" t="str">
        <f>IF(N28&lt;&gt;"",IF(N28=0,0,MAX(H28+J28+2-N28,0)),IF($B$5=12,2,IF($B$5=13,1,"")))</f>
        <v/>
      </c>
      <c r="S28" s="43" t="str">
        <f t="shared" si="15"/>
        <v/>
      </c>
      <c r="T28" s="44" t="str">
        <f>IF(OR($B$5=9,$B$5=12),H28+J28,IF($B$5=13,H28+J28+1,IF(N28&lt;&gt;"",IF(N28=0,L28,MIN(L28,N28)),"")))</f>
        <v/>
      </c>
      <c r="U28" s="30" t="str">
        <f t="shared" si="16"/>
        <v/>
      </c>
      <c r="V28" s="16" t="str">
        <f>IF(AND(N28&gt;0,OR($B$5=12,$B$5=13)),"Slet tastet score","")</f>
        <v/>
      </c>
      <c r="W28" s="7"/>
      <c r="X28" s="7"/>
      <c r="AA28" s="9"/>
      <c r="AB28" s="10"/>
      <c r="AC28" s="9"/>
      <c r="AD28" s="9"/>
      <c r="AE28" s="9"/>
      <c r="AF28" s="9"/>
      <c r="AG28" s="10"/>
      <c r="AH28" s="9"/>
      <c r="AI28" s="9"/>
      <c r="AJ28" s="11"/>
      <c r="AK28" s="11"/>
    </row>
    <row r="29" spans="2:42" ht="20" customHeight="1">
      <c r="B29" s="7">
        <v>15</v>
      </c>
      <c r="C29" s="7"/>
      <c r="D29" s="29">
        <v>387</v>
      </c>
      <c r="E29" s="29">
        <v>313</v>
      </c>
      <c r="F29" s="29"/>
      <c r="G29" s="29"/>
      <c r="H29" s="29">
        <v>4</v>
      </c>
      <c r="I29" s="29">
        <v>6</v>
      </c>
      <c r="J29" s="5">
        <f t="shared" si="10"/>
        <v>2</v>
      </c>
      <c r="K29" s="5" t="str">
        <f t="shared" si="11"/>
        <v>II</v>
      </c>
      <c r="L29" s="5">
        <f t="shared" si="12"/>
        <v>8</v>
      </c>
      <c r="M29" s="41"/>
      <c r="N29" s="32"/>
      <c r="O29" s="55" t="str">
        <f t="shared" si="13"/>
        <v>(8-) =</v>
      </c>
      <c r="P29" s="56"/>
      <c r="Q29" s="30">
        <f t="shared" si="14"/>
        <v>8</v>
      </c>
      <c r="R29" s="31" t="str">
        <f>IF(N29&lt;&gt;"",IF(N29=0,0,MAX(H29+J29+2-N29,0)),IF(OR($B$5=12,$B$5=13,$B$5=14),2,""))</f>
        <v/>
      </c>
      <c r="S29" s="43" t="str">
        <f t="shared" si="15"/>
        <v/>
      </c>
      <c r="T29" s="44" t="str">
        <f>IF(OR($B$5=9,$B$5=12,$B$5=13,$B$5=14),H29+J29,IF(N29&lt;&gt;"",IF(N29=0,L29,MIN(L29,N29)),""))</f>
        <v/>
      </c>
      <c r="U29" s="30" t="str">
        <f t="shared" si="16"/>
        <v/>
      </c>
      <c r="V29" s="16" t="str">
        <f>IF(AND(N29&gt;0,OR($B$5=12,$B$5=13,$B$5=14)),"Slet tastet score","")</f>
        <v/>
      </c>
      <c r="W29" s="7"/>
      <c r="X29" s="7"/>
      <c r="AA29" s="9"/>
      <c r="AB29" s="9"/>
      <c r="AD29" s="9"/>
    </row>
    <row r="30" spans="2:42" ht="20" customHeight="1">
      <c r="B30" s="7">
        <v>16</v>
      </c>
      <c r="C30" s="7"/>
      <c r="D30" s="29">
        <v>160</v>
      </c>
      <c r="E30" s="29">
        <v>126</v>
      </c>
      <c r="F30" s="29"/>
      <c r="G30" s="29"/>
      <c r="H30" s="29">
        <v>3</v>
      </c>
      <c r="I30" s="29">
        <v>18</v>
      </c>
      <c r="J30" s="5">
        <f t="shared" si="10"/>
        <v>1</v>
      </c>
      <c r="K30" s="5" t="str">
        <f t="shared" si="11"/>
        <v>I</v>
      </c>
      <c r="L30" s="5">
        <f t="shared" si="12"/>
        <v>6</v>
      </c>
      <c r="M30" s="41"/>
      <c r="N30" s="32"/>
      <c r="O30" s="55" t="str">
        <f t="shared" si="13"/>
        <v>(6-) =</v>
      </c>
      <c r="P30" s="56"/>
      <c r="Q30" s="30">
        <f t="shared" si="14"/>
        <v>6</v>
      </c>
      <c r="R30" s="31" t="str">
        <f>IF(N30&lt;&gt;"",IF(N30=0,0,MAX(H30+J30+2-N30,0)),IF(OR($B$5=12,$B$5=13,$B$5=14,$B$5=15),2,""))</f>
        <v/>
      </c>
      <c r="S30" s="43" t="str">
        <f t="shared" si="15"/>
        <v/>
      </c>
      <c r="T30" s="44" t="str">
        <f>IF(OR($B$5=9,$B$5=12,$B$5=13,$B$5=14,$B$5=15),H30+J30,IF(N30&lt;&gt;"",IF(N30=0,L30,MIN(L30,N30)),""))</f>
        <v/>
      </c>
      <c r="U30" s="30" t="str">
        <f t="shared" si="16"/>
        <v/>
      </c>
      <c r="V30" s="16" t="str">
        <f>IF(AND(N30&gt;0,OR($B$5=12,$B$5=13,$B$5=14,$B$5=15)),"Slet tastet score","")</f>
        <v/>
      </c>
      <c r="W30" s="7"/>
      <c r="X30" s="7"/>
    </row>
    <row r="31" spans="2:42" ht="20" customHeight="1">
      <c r="B31" s="7">
        <v>17</v>
      </c>
      <c r="C31" s="7"/>
      <c r="D31" s="29">
        <v>483</v>
      </c>
      <c r="E31" s="29">
        <v>402</v>
      </c>
      <c r="F31" s="29"/>
      <c r="G31" s="29"/>
      <c r="H31" s="29">
        <v>5</v>
      </c>
      <c r="I31" s="29">
        <v>4</v>
      </c>
      <c r="J31" s="5">
        <f t="shared" si="10"/>
        <v>2</v>
      </c>
      <c r="K31" s="5" t="str">
        <f t="shared" si="11"/>
        <v>II</v>
      </c>
      <c r="L31" s="5">
        <f t="shared" si="12"/>
        <v>9</v>
      </c>
      <c r="M31" s="41"/>
      <c r="N31" s="32"/>
      <c r="O31" s="55" t="str">
        <f t="shared" si="13"/>
        <v>(9-) =</v>
      </c>
      <c r="P31" s="56"/>
      <c r="Q31" s="30">
        <f t="shared" si="14"/>
        <v>9</v>
      </c>
      <c r="R31" s="31" t="str">
        <f>IF(N31&lt;&gt;"",IF(N31=0,0,MAX(H31+J31+2-N31,0)),IF(OR($B$5=12,$B$5=13,$B$5=14,$B$5=15,$B$5=16),2,""))</f>
        <v/>
      </c>
      <c r="S31" s="43" t="str">
        <f t="shared" si="15"/>
        <v/>
      </c>
      <c r="T31" s="44" t="str">
        <f>IF(OR($B$5=9,$B$5=12,$B$5=13,$B$5=14,$B$5=15,$B$5=16),H31+J31,IF(N31&lt;&gt;"",IF(N31=0,L31,MIN(L31,N31)),""))</f>
        <v/>
      </c>
      <c r="U31" s="30" t="str">
        <f t="shared" si="16"/>
        <v/>
      </c>
      <c r="V31" s="16" t="str">
        <f>IF(AND(N31&gt;0,OR($B$5=12,$B$5=13,$B$5=14,$B$5=15,$B$5=16)),"Slet tastet score","")</f>
        <v/>
      </c>
      <c r="W31" s="7"/>
      <c r="X31" s="7"/>
    </row>
    <row r="32" spans="2:42" ht="20" customHeight="1">
      <c r="B32" s="7">
        <v>18</v>
      </c>
      <c r="C32" s="7"/>
      <c r="D32" s="29">
        <v>367</v>
      </c>
      <c r="E32" s="29">
        <v>320</v>
      </c>
      <c r="F32" s="29"/>
      <c r="G32" s="29"/>
      <c r="H32" s="29">
        <v>4</v>
      </c>
      <c r="I32" s="29">
        <v>10</v>
      </c>
      <c r="J32" s="5">
        <f t="shared" si="10"/>
        <v>2</v>
      </c>
      <c r="K32" s="5" t="str">
        <f t="shared" si="11"/>
        <v>II</v>
      </c>
      <c r="L32" s="5">
        <f t="shared" si="12"/>
        <v>8</v>
      </c>
      <c r="M32" s="41"/>
      <c r="N32" s="32"/>
      <c r="O32" s="55" t="str">
        <f t="shared" si="13"/>
        <v>(8-) =</v>
      </c>
      <c r="P32" s="56"/>
      <c r="Q32" s="30">
        <f t="shared" si="14"/>
        <v>8</v>
      </c>
      <c r="R32" s="31" t="str">
        <f>IF(N32&lt;&gt;"",IF(N32=0,0,MAX(H32+J32+2-N32,0)),IF(OR($B$5=12,$B$5=13,$B$5=14,$B$5=15,$B$5=16,$B$5=17),2,""))</f>
        <v/>
      </c>
      <c r="S32" s="43" t="str">
        <f t="shared" si="15"/>
        <v/>
      </c>
      <c r="T32" s="44" t="str">
        <f>IF(OR($B$5=9,$B$5=12,$B$5=13,$B$5=14,$B$5=15,$B$5=16,$B$5=17),H32+J32,IF(N32&lt;&gt;"",IF(N32=0,L32,MIN(L32,N32)),""))</f>
        <v/>
      </c>
      <c r="U32" s="30" t="str">
        <f t="shared" si="16"/>
        <v/>
      </c>
      <c r="V32" s="16" t="str">
        <f>IF(AND(N32&gt;0,OR($B$5=12,$B$5=13,$B$5=14,$B$5=15,$B$5=16,$B$5=17)),"Slet tastet score","")</f>
        <v/>
      </c>
      <c r="W32" s="7"/>
      <c r="X32" s="7"/>
    </row>
    <row r="33" spans="2:24" ht="20" customHeight="1">
      <c r="B33" s="68" t="s">
        <v>10</v>
      </c>
      <c r="C33" s="68"/>
      <c r="D33" s="7">
        <f>SUM(D24:D32)</f>
        <v>2997</v>
      </c>
      <c r="E33" s="7">
        <f>SUM(E24:E32)</f>
        <v>2542</v>
      </c>
      <c r="F33" s="48">
        <f t="shared" ref="F33:G33" si="18">SUM(F24:F32)</f>
        <v>0</v>
      </c>
      <c r="G33" s="48">
        <f t="shared" si="18"/>
        <v>0</v>
      </c>
      <c r="H33" s="7">
        <f>SUM(H24:H32)</f>
        <v>36</v>
      </c>
      <c r="I33" s="68" t="s">
        <v>10</v>
      </c>
      <c r="J33" s="68"/>
      <c r="K33" s="7"/>
      <c r="L33" s="7"/>
      <c r="M33" s="7"/>
      <c r="N33" s="31" t="str">
        <f>IF(OR(COUNTIF($N$11:$N$19,"&gt;0")&lt;9,COUNTIF($N$24:$N$32,"&gt;0")&lt;9),"",SUM(N24:N32))</f>
        <v/>
      </c>
      <c r="O33" s="90"/>
      <c r="P33" s="56"/>
      <c r="Q33" s="7">
        <f>SUM(Q24:Q32)</f>
        <v>69</v>
      </c>
      <c r="R33" s="33">
        <f>IF(B5=9,17,SUM(R24:R32))</f>
        <v>0</v>
      </c>
      <c r="S33" s="43"/>
      <c r="T33" s="44">
        <f>SUM(T24:T32)</f>
        <v>0</v>
      </c>
      <c r="U33" s="30">
        <f>IF(B5=9,17,SUM(U24:U32))</f>
        <v>0</v>
      </c>
      <c r="V33" s="7"/>
      <c r="W33" s="7"/>
      <c r="X33" s="7"/>
    </row>
    <row r="34" spans="2:24" ht="20" customHeight="1">
      <c r="B34" s="68" t="s">
        <v>8</v>
      </c>
      <c r="C34" s="68"/>
      <c r="D34" s="7">
        <f>D20</f>
        <v>2898</v>
      </c>
      <c r="E34" s="7">
        <f>E20</f>
        <v>2454</v>
      </c>
      <c r="F34" s="48">
        <f t="shared" ref="F34:G34" si="19">F20</f>
        <v>0</v>
      </c>
      <c r="G34" s="48">
        <f t="shared" si="19"/>
        <v>0</v>
      </c>
      <c r="H34" s="7">
        <f>H20</f>
        <v>36</v>
      </c>
      <c r="I34" s="68" t="s">
        <v>8</v>
      </c>
      <c r="J34" s="68"/>
      <c r="K34" s="7"/>
      <c r="L34" s="7"/>
      <c r="M34" s="7"/>
      <c r="N34" s="31" t="str">
        <f>IF(OR(COUNTIF($N$11:$N$19,"&gt;0")&lt;9,COUNTIF($N$24:$N$32,"&gt;0")&lt;9),"",N20)</f>
        <v/>
      </c>
      <c r="O34" s="90"/>
      <c r="P34" s="56"/>
      <c r="Q34" s="7">
        <f>Q20</f>
        <v>70</v>
      </c>
      <c r="R34" s="31">
        <f>R20</f>
        <v>0</v>
      </c>
      <c r="S34" s="43"/>
      <c r="T34" s="44">
        <f>T20</f>
        <v>0</v>
      </c>
      <c r="U34" s="30">
        <f>U20</f>
        <v>0</v>
      </c>
      <c r="V34" s="7"/>
      <c r="W34" s="7"/>
      <c r="X34" s="7"/>
    </row>
    <row r="35" spans="2:24" ht="20" customHeight="1">
      <c r="B35" s="68" t="s">
        <v>11</v>
      </c>
      <c r="C35" s="68"/>
      <c r="D35" s="7">
        <f>SUM(D33:D34)</f>
        <v>5895</v>
      </c>
      <c r="E35" s="7">
        <f>SUM(E33:E34)</f>
        <v>4996</v>
      </c>
      <c r="F35" s="48">
        <f t="shared" ref="F35:G35" si="20">SUM(F33:F34)</f>
        <v>0</v>
      </c>
      <c r="G35" s="48">
        <f t="shared" si="20"/>
        <v>0</v>
      </c>
      <c r="H35" s="7">
        <f>H33+H34</f>
        <v>72</v>
      </c>
      <c r="I35" s="59" t="s">
        <v>23</v>
      </c>
      <c r="J35" s="59"/>
      <c r="K35" s="34"/>
      <c r="L35" s="7"/>
      <c r="M35" s="7"/>
      <c r="N35" s="31" t="str">
        <f>IF(OR(COUNTIF($N$11:$N$19,"&gt;0")&lt;9,COUNTIF($N$24:$N$32,"&gt;0")&lt;9),"",N33+N34)</f>
        <v/>
      </c>
      <c r="O35" s="91"/>
      <c r="P35" s="92"/>
      <c r="Q35" s="42">
        <f>Q33+Q34</f>
        <v>139</v>
      </c>
      <c r="R35" s="31">
        <f>R33+R34</f>
        <v>0</v>
      </c>
      <c r="S35" s="42"/>
      <c r="T35" s="47">
        <f>T33+T34</f>
        <v>0</v>
      </c>
      <c r="U35" s="30">
        <f>U33+U34</f>
        <v>0</v>
      </c>
      <c r="V35" s="7"/>
      <c r="W35" s="7"/>
      <c r="X35" s="7"/>
    </row>
    <row r="36" spans="2:24" ht="20" customHeight="1">
      <c r="B36" s="60" t="s">
        <v>12</v>
      </c>
      <c r="C36" s="7" t="s">
        <v>14</v>
      </c>
      <c r="D36" s="29">
        <v>72.5</v>
      </c>
      <c r="E36" s="29">
        <v>73.5</v>
      </c>
      <c r="F36" s="7"/>
      <c r="G36" s="7"/>
      <c r="H36" s="35"/>
      <c r="I36" s="62" t="s">
        <v>24</v>
      </c>
      <c r="J36" s="63"/>
      <c r="K36" s="36"/>
      <c r="L36" s="7"/>
      <c r="M36" s="7"/>
      <c r="N36" s="7" t="str">
        <f>IF(OR(COUNTIF($N$11:$N$19,"&gt;0")&lt;9,COUNTIF($N$24:$N$32,"&gt;0")&lt;9),"",R7)</f>
        <v/>
      </c>
      <c r="O36" s="90"/>
      <c r="P36" s="56"/>
      <c r="Q36" s="7"/>
      <c r="R36" s="37"/>
      <c r="S36" s="7"/>
      <c r="T36" s="43"/>
      <c r="U36" s="7"/>
      <c r="V36" s="7"/>
      <c r="W36" s="7"/>
      <c r="X36" s="7"/>
    </row>
    <row r="37" spans="2:24" ht="20" customHeight="1">
      <c r="B37" s="61"/>
      <c r="C37" s="7" t="s">
        <v>15</v>
      </c>
      <c r="D37" s="29">
        <v>120</v>
      </c>
      <c r="E37" s="29">
        <v>126</v>
      </c>
      <c r="F37" s="7"/>
      <c r="G37" s="7"/>
      <c r="H37" s="35"/>
      <c r="I37" s="59" t="s">
        <v>25</v>
      </c>
      <c r="J37" s="59"/>
      <c r="K37" s="34"/>
      <c r="L37" s="7"/>
      <c r="M37" s="7"/>
      <c r="N37" s="7" t="str">
        <f>IF(OR(COUNTIF($N$11:$N$19,"&gt;0")&lt;9,COUNTIF($N$24:$N$32,"&gt;0")&lt;9),"",N35-N36)</f>
        <v/>
      </c>
      <c r="O37" s="90"/>
      <c r="P37" s="56"/>
      <c r="Q37" s="7"/>
      <c r="R37" s="37"/>
      <c r="S37" s="7"/>
      <c r="T37" s="7"/>
      <c r="U37" s="7"/>
      <c r="V37" s="7"/>
      <c r="W37" s="7"/>
      <c r="X37" s="7"/>
    </row>
    <row r="38" spans="2:24" ht="20" customHeight="1">
      <c r="B38" s="60" t="s">
        <v>13</v>
      </c>
      <c r="C38" s="7" t="s">
        <v>14</v>
      </c>
      <c r="D38" s="29">
        <v>69.900000000000006</v>
      </c>
      <c r="E38" s="29">
        <v>72</v>
      </c>
      <c r="F38" s="7"/>
      <c r="G38" s="7"/>
      <c r="H38" s="49" t="s">
        <v>16</v>
      </c>
      <c r="I38" s="50"/>
      <c r="J38" s="50"/>
      <c r="K38" s="50"/>
      <c r="L38" s="50"/>
      <c r="M38" s="50"/>
      <c r="N38" s="50"/>
      <c r="O38" s="49" t="s">
        <v>17</v>
      </c>
      <c r="P38" s="50"/>
      <c r="Q38" s="50"/>
      <c r="R38" s="50"/>
      <c r="S38" s="50"/>
      <c r="T38" s="50"/>
      <c r="U38" s="50"/>
      <c r="V38" s="50"/>
      <c r="W38" s="50"/>
      <c r="X38" s="51"/>
    </row>
    <row r="39" spans="2:24" ht="20" customHeight="1">
      <c r="B39" s="61"/>
      <c r="C39" s="7" t="s">
        <v>15</v>
      </c>
      <c r="D39" s="29">
        <v>126</v>
      </c>
      <c r="E39" s="29">
        <v>130</v>
      </c>
      <c r="F39" s="7"/>
      <c r="G39" s="7"/>
      <c r="H39" s="52"/>
      <c r="I39" s="53"/>
      <c r="J39" s="53"/>
      <c r="K39" s="53"/>
      <c r="L39" s="53"/>
      <c r="M39" s="53"/>
      <c r="N39" s="53"/>
      <c r="O39" s="52"/>
      <c r="P39" s="53"/>
      <c r="Q39" s="53"/>
      <c r="R39" s="53"/>
      <c r="S39" s="53"/>
      <c r="T39" s="53"/>
      <c r="U39" s="53"/>
      <c r="V39" s="53"/>
      <c r="W39" s="53"/>
      <c r="X39" s="54"/>
    </row>
  </sheetData>
  <sheetProtection formatColumns="0" selectLockedCells="1"/>
  <mergeCells count="79">
    <mergeCell ref="AI11:AK11"/>
    <mergeCell ref="O37:P37"/>
    <mergeCell ref="O33:P33"/>
    <mergeCell ref="O34:P34"/>
    <mergeCell ref="O35:P35"/>
    <mergeCell ref="O36:P36"/>
    <mergeCell ref="O20:P20"/>
    <mergeCell ref="O29:P29"/>
    <mergeCell ref="O30:P30"/>
    <mergeCell ref="O31:P31"/>
    <mergeCell ref="O32:P32"/>
    <mergeCell ref="Z16:Z17"/>
    <mergeCell ref="O19:P19"/>
    <mergeCell ref="AA22:AC22"/>
    <mergeCell ref="AI16:AK16"/>
    <mergeCell ref="AI21:AK21"/>
    <mergeCell ref="V7:X7"/>
    <mergeCell ref="R7:U7"/>
    <mergeCell ref="O16:P16"/>
    <mergeCell ref="O17:P17"/>
    <mergeCell ref="O18:P18"/>
    <mergeCell ref="N7:Q7"/>
    <mergeCell ref="V9:X9"/>
    <mergeCell ref="O11:P11"/>
    <mergeCell ref="O12:P12"/>
    <mergeCell ref="O13:P13"/>
    <mergeCell ref="O14:P14"/>
    <mergeCell ref="O10:P10"/>
    <mergeCell ref="O15:P15"/>
    <mergeCell ref="V6:X6"/>
    <mergeCell ref="J5:U5"/>
    <mergeCell ref="N6:Q6"/>
    <mergeCell ref="R6:U6"/>
    <mergeCell ref="V5:X5"/>
    <mergeCell ref="J2:U2"/>
    <mergeCell ref="J3:U3"/>
    <mergeCell ref="V4:X4"/>
    <mergeCell ref="D3:I3"/>
    <mergeCell ref="J4:U4"/>
    <mergeCell ref="W3:X3"/>
    <mergeCell ref="W2:X2"/>
    <mergeCell ref="B35:C35"/>
    <mergeCell ref="I35:J35"/>
    <mergeCell ref="V22:X22"/>
    <mergeCell ref="B33:C33"/>
    <mergeCell ref="I33:J33"/>
    <mergeCell ref="B22:C22"/>
    <mergeCell ref="D22:I22"/>
    <mergeCell ref="B34:C34"/>
    <mergeCell ref="I34:J34"/>
    <mergeCell ref="J22:U22"/>
    <mergeCell ref="O27:P27"/>
    <mergeCell ref="O28:P28"/>
    <mergeCell ref="B2:C2"/>
    <mergeCell ref="B4:C4"/>
    <mergeCell ref="B20:C20"/>
    <mergeCell ref="I20:J20"/>
    <mergeCell ref="B9:C9"/>
    <mergeCell ref="D9:I9"/>
    <mergeCell ref="J7:M7"/>
    <mergeCell ref="D7:I7"/>
    <mergeCell ref="D4:I4"/>
    <mergeCell ref="J9:U9"/>
    <mergeCell ref="B3:C3"/>
    <mergeCell ref="B5:C5"/>
    <mergeCell ref="D6:I6"/>
    <mergeCell ref="J6:M6"/>
    <mergeCell ref="D5:I5"/>
    <mergeCell ref="D2:I2"/>
    <mergeCell ref="H38:N39"/>
    <mergeCell ref="I37:J37"/>
    <mergeCell ref="B36:B37"/>
    <mergeCell ref="B38:B39"/>
    <mergeCell ref="I36:J36"/>
    <mergeCell ref="O38:X39"/>
    <mergeCell ref="O24:P24"/>
    <mergeCell ref="O25:P25"/>
    <mergeCell ref="O26:P26"/>
    <mergeCell ref="O23:P23"/>
  </mergeCells>
  <conditionalFormatting sqref="L10:L19 L23:L32">
    <cfRule type="expression" dxfId="28" priority="55">
      <formula>OR($J$7="Nej",$J$7="")</formula>
    </cfRule>
  </conditionalFormatting>
  <conditionalFormatting sqref="N36:N37">
    <cfRule type="expression" dxfId="27" priority="53">
      <formula>$B$5=9</formula>
    </cfRule>
  </conditionalFormatting>
  <conditionalFormatting sqref="T24:T32">
    <cfRule type="expression" dxfId="26" priority="49">
      <formula>AND(N24=0,N24&lt;&gt;"")</formula>
    </cfRule>
    <cfRule type="expression" dxfId="25" priority="50">
      <formula>N24&gt;L24</formula>
    </cfRule>
  </conditionalFormatting>
  <conditionalFormatting sqref="O11:P19 O24:P32">
    <cfRule type="expression" dxfId="24" priority="47">
      <formula>N11=0</formula>
    </cfRule>
    <cfRule type="expression" dxfId="23" priority="48">
      <formula>$O$10="Vis udregning"</formula>
    </cfRule>
  </conditionalFormatting>
  <conditionalFormatting sqref="O20:P20 O33:P37">
    <cfRule type="expression" dxfId="22" priority="56">
      <formula>H20=0</formula>
    </cfRule>
    <cfRule type="expression" dxfId="21" priority="57">
      <formula>$O$10="Vis udregning"</formula>
    </cfRule>
  </conditionalFormatting>
  <conditionalFormatting sqref="T11:T19">
    <cfRule type="expression" dxfId="20" priority="58">
      <formula>AND(N11=0,N11&lt;&gt;"")</formula>
    </cfRule>
    <cfRule type="expression" dxfId="19" priority="59">
      <formula>N11&gt;L11</formula>
    </cfRule>
  </conditionalFormatting>
  <conditionalFormatting sqref="L11:L19 L24:L32">
    <cfRule type="expression" dxfId="18" priority="20">
      <formula>H11+J11+2&gt;L11</formula>
    </cfRule>
    <cfRule type="expression" dxfId="17" priority="30">
      <formula>$O$10="Vis udregning"</formula>
    </cfRule>
  </conditionalFormatting>
  <conditionalFormatting sqref="AN15">
    <cfRule type="expression" dxfId="16" priority="19">
      <formula>$AN$15=0</formula>
    </cfRule>
  </conditionalFormatting>
  <conditionalFormatting sqref="AP20">
    <cfRule type="expression" dxfId="15" priority="17">
      <formula>$AP$20=0</formula>
    </cfRule>
  </conditionalFormatting>
  <conditionalFormatting sqref="R24:R32">
    <cfRule type="expression" dxfId="14" priority="16">
      <formula>$B$5=9</formula>
    </cfRule>
  </conditionalFormatting>
  <conditionalFormatting sqref="R27">
    <cfRule type="expression" dxfId="13" priority="15">
      <formula>OR($B$5=12,$B$5=12)</formula>
    </cfRule>
  </conditionalFormatting>
  <conditionalFormatting sqref="R28">
    <cfRule type="expression" dxfId="12" priority="14">
      <formula>OR($B$5=12,$B$5=13)</formula>
    </cfRule>
  </conditionalFormatting>
  <conditionalFormatting sqref="R29">
    <cfRule type="expression" dxfId="11" priority="13">
      <formula>OR($B$5=12,$B$5=13,$B$5=14)</formula>
    </cfRule>
  </conditionalFormatting>
  <conditionalFormatting sqref="R30">
    <cfRule type="expression" dxfId="10" priority="12">
      <formula>OR($B$5=12,$B$5=13,$B$5=14,$B$5=15)</formula>
    </cfRule>
  </conditionalFormatting>
  <conditionalFormatting sqref="R31">
    <cfRule type="expression" dxfId="9" priority="11">
      <formula>OR($B$5=12,$B$5=13,$B$5=14,$B$5=15,$B$5=16)</formula>
    </cfRule>
  </conditionalFormatting>
  <conditionalFormatting sqref="R32">
    <cfRule type="expression" dxfId="8" priority="10">
      <formula>OR($B$5=12,$B$5=13,$B$5=14,$B$5=15,$B$5=16,$B$5=17)</formula>
    </cfRule>
  </conditionalFormatting>
  <conditionalFormatting sqref="AM15">
    <cfRule type="expression" dxfId="7" priority="7">
      <formula>$V$3=0</formula>
    </cfRule>
    <cfRule type="expression" dxfId="6" priority="9">
      <formula>$V$3&lt;&gt;""</formula>
    </cfRule>
  </conditionalFormatting>
  <conditionalFormatting sqref="AO20">
    <cfRule type="expression" dxfId="5" priority="5">
      <formula>$V$3=0</formula>
    </cfRule>
    <cfRule type="expression" dxfId="4" priority="6">
      <formula>$V$3&lt;&gt;""</formula>
    </cfRule>
  </conditionalFormatting>
  <conditionalFormatting sqref="N33:N35">
    <cfRule type="expression" dxfId="3" priority="4">
      <formula>$B$5=9</formula>
    </cfRule>
  </conditionalFormatting>
  <conditionalFormatting sqref="N33:N35">
    <cfRule type="expression" dxfId="2" priority="3">
      <formula>OR($B$5=12,$B$5=13,$B$5=14,$B$5=15,$B$5=16,$B$5=17)</formula>
    </cfRule>
  </conditionalFormatting>
  <conditionalFormatting sqref="R20 T20 R33 R34 R35 T33 T34 T35">
    <cfRule type="expression" dxfId="1" priority="2">
      <formula>$N$11=""</formula>
    </cfRule>
  </conditionalFormatting>
  <conditionalFormatting sqref="E38:E39">
    <cfRule type="expression" dxfId="0" priority="1">
      <formula>$N$7&lt;&gt;""</formula>
    </cfRule>
  </conditionalFormatting>
  <dataValidations count="6">
    <dataValidation type="list" allowBlank="1" showInputMessage="1" showErrorMessage="1" errorTitle="Forkert input" error="Skal enten være Ja eller Nej" sqref="J7:M7" xr:uid="{0B740162-6899-4844-BDC8-7DAC058E9214}">
      <formula1>"Ja,Nej"</formula1>
    </dataValidation>
    <dataValidation type="list" allowBlank="1" showInputMessage="1" showErrorMessage="1" errorTitle="Forkert input" error="Skal enten være 9 eller 12 til 18. " sqref="B5:C5" xr:uid="{84482263-0381-A44A-8604-B87A5FAADD2C}">
      <formula1>"9,12,13,14,15,16,17,18"</formula1>
    </dataValidation>
    <dataValidation type="list" allowBlank="1" showInputMessage="1" showErrorMessage="1" sqref="O10:P10" xr:uid="{C5796FFA-AD86-7E46-912E-6D673A257328}">
      <formula1>"Vis udregning,Vis ikke udregning"</formula1>
    </dataValidation>
    <dataValidation type="whole" allowBlank="1" showInputMessage="1" showErrorMessage="1" errorTitle="Fejl input" error="Skal være et heltal - 0 for en streg i stableford. " sqref="N11:N19 N24:N32" xr:uid="{359A7785-8C9C-5641-A73B-979BA8B2FE78}">
      <formula1>0</formula1>
      <formula2>20</formula2>
    </dataValidation>
    <dataValidation type="list" allowBlank="1" showDropDown="1" showInputMessage="1" showErrorMessage="1" sqref="C7" xr:uid="{9AE20267-6223-4341-9E8C-CC151EF0DBC1}">
      <formula1>"H,D"</formula1>
    </dataValidation>
    <dataValidation type="list" allowBlank="1" showDropDown="1" showInputMessage="1" showErrorMessage="1" sqref="B7" xr:uid="{311CB570-51E5-5E42-95F8-12F802A3A89D}">
      <formula1>"1,2,3,4"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Button 23">
              <controlPr locked="0" defaultSize="0" print="0" autoFill="0" autoPict="0" macro="[0]!Makro7">
                <anchor moveWithCells="1" sizeWithCells="1">
                  <from>
                    <xdr:col>24</xdr:col>
                    <xdr:colOff>101600</xdr:colOff>
                    <xdr:row>1</xdr:row>
                    <xdr:rowOff>0</xdr:rowOff>
                  </from>
                  <to>
                    <xdr:col>24</xdr:col>
                    <xdr:colOff>850900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Button 24">
              <controlPr locked="0" defaultSize="0" print="0" autoFill="0" autoPict="0" macro="[0]!Makro6">
                <anchor moveWithCells="1" sizeWithCells="1">
                  <from>
                    <xdr:col>24</xdr:col>
                    <xdr:colOff>101600</xdr:colOff>
                    <xdr:row>2</xdr:row>
                    <xdr:rowOff>38100</xdr:rowOff>
                  </from>
                  <to>
                    <xdr:col>24</xdr:col>
                    <xdr:colOff>838200</xdr:colOff>
                    <xdr:row>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Scorekort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Haag</dc:creator>
  <cp:lastModifiedBy>Nick Hüttel</cp:lastModifiedBy>
  <dcterms:created xsi:type="dcterms:W3CDTF">2020-03-12T13:18:01Z</dcterms:created>
  <dcterms:modified xsi:type="dcterms:W3CDTF">2021-09-29T11:36:30Z</dcterms:modified>
</cp:coreProperties>
</file>