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2"/>
  <workbookPr/>
  <mc:AlternateContent xmlns:mc="http://schemas.openxmlformats.org/markup-compatibility/2006">
    <mc:Choice Requires="x15">
      <x15ac:absPath xmlns:x15ac="http://schemas.microsoft.com/office/spreadsheetml/2010/11/ac" url="/Users/klo/Desktop/"/>
    </mc:Choice>
  </mc:AlternateContent>
  <xr:revisionPtr revIDLastSave="0" documentId="8_{D0A3C06A-C3B9-314D-851C-603B4D20A284}" xr6:coauthVersionLast="47" xr6:coauthVersionMax="47" xr10:uidLastSave="{00000000-0000-0000-0000-000000000000}"/>
  <bookViews>
    <workbookView xWindow="0" yWindow="500" windowWidth="38400" windowHeight="19400" xr2:uid="{00000000-000D-0000-FFFF-FFFF00000000}"/>
  </bookViews>
  <sheets>
    <sheet name="Ark1" sheetId="1" r:id="rId1"/>
    <sheet name="Ark2" sheetId="2" r:id="rId2"/>
    <sheet name="Ark3" sheetId="3" r:id="rId3"/>
    <sheet name="DV-IDENTITY-0" sheetId="4" state="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8" roundtripDataSignature="AMtx7mjlLaWHiJGofIuAGy4l4voI8k8sTQ=="/>
    </ext>
  </extLst>
</workbook>
</file>

<file path=xl/calcChain.xml><?xml version="1.0" encoding="utf-8"?>
<calcChain xmlns="http://schemas.openxmlformats.org/spreadsheetml/2006/main">
  <c r="GH5" i="4" l="1"/>
  <c r="GG5" i="4"/>
  <c r="GF5" i="4"/>
  <c r="GE5" i="4"/>
  <c r="GD5" i="4"/>
  <c r="GC5" i="4"/>
  <c r="GB5" i="4"/>
  <c r="GA5" i="4"/>
  <c r="FZ5" i="4"/>
  <c r="FY5" i="4"/>
  <c r="FX5" i="4"/>
  <c r="FW5" i="4"/>
  <c r="FV5" i="4"/>
  <c r="FU5" i="4"/>
  <c r="FT5" i="4"/>
  <c r="FS5" i="4"/>
  <c r="FR5" i="4"/>
  <c r="FQ5" i="4"/>
  <c r="FP5" i="4"/>
  <c r="FO5" i="4"/>
  <c r="FN5" i="4"/>
  <c r="FM5" i="4"/>
  <c r="FL5" i="4"/>
  <c r="FK5" i="4"/>
  <c r="FJ5" i="4"/>
  <c r="FI5" i="4"/>
  <c r="FH5" i="4"/>
  <c r="FG5" i="4"/>
  <c r="FF5" i="4"/>
  <c r="FE5" i="4"/>
  <c r="FD5" i="4"/>
  <c r="FC5" i="4"/>
  <c r="FB5" i="4"/>
  <c r="FA5" i="4"/>
  <c r="EZ5" i="4"/>
  <c r="EY5" i="4"/>
  <c r="EX5" i="4"/>
  <c r="EW5" i="4"/>
  <c r="EV5" i="4"/>
  <c r="EU5" i="4"/>
  <c r="ET5" i="4"/>
  <c r="ES5" i="4"/>
  <c r="ER5" i="4"/>
  <c r="EQ5" i="4"/>
  <c r="EP5" i="4"/>
  <c r="EO5" i="4"/>
  <c r="EN5" i="4"/>
  <c r="EM5" i="4"/>
  <c r="EL5" i="4"/>
  <c r="EK5" i="4"/>
  <c r="EJ5" i="4"/>
  <c r="EI5" i="4"/>
  <c r="EH5" i="4"/>
  <c r="EG5" i="4"/>
  <c r="EF5" i="4"/>
  <c r="EE5" i="4"/>
  <c r="ED5" i="4"/>
  <c r="EC5" i="4"/>
  <c r="EB5" i="4"/>
  <c r="EA5" i="4"/>
  <c r="DZ5" i="4"/>
  <c r="DY5" i="4"/>
  <c r="DX5" i="4"/>
  <c r="DW5" i="4"/>
  <c r="DV5" i="4"/>
  <c r="DU5" i="4"/>
  <c r="DT5" i="4"/>
  <c r="DS5" i="4"/>
  <c r="DR5" i="4"/>
  <c r="DQ5" i="4"/>
  <c r="DP5" i="4"/>
  <c r="DO5" i="4"/>
  <c r="DN5" i="4"/>
  <c r="DM5" i="4"/>
  <c r="DL5" i="4"/>
  <c r="DK5" i="4"/>
  <c r="DJ5" i="4"/>
  <c r="DI5" i="4"/>
  <c r="DH5" i="4"/>
  <c r="DG5" i="4"/>
  <c r="DF5" i="4"/>
  <c r="DE5" i="4"/>
  <c r="DD5" i="4"/>
  <c r="DC5" i="4"/>
  <c r="DB5" i="4"/>
  <c r="DA5" i="4"/>
  <c r="CZ5" i="4"/>
  <c r="CY5" i="4"/>
  <c r="CX5" i="4"/>
  <c r="CW5" i="4"/>
  <c r="CV5" i="4"/>
  <c r="CU5" i="4"/>
  <c r="CT5" i="4"/>
  <c r="CS5" i="4"/>
  <c r="CR5" i="4"/>
  <c r="CQ5" i="4"/>
  <c r="CP5" i="4"/>
  <c r="CO5" i="4"/>
  <c r="CN5" i="4"/>
  <c r="CM5" i="4"/>
  <c r="CL5" i="4"/>
  <c r="CK5" i="4"/>
  <c r="CJ5" i="4"/>
  <c r="CI5" i="4"/>
  <c r="CH5" i="4"/>
  <c r="CG5" i="4"/>
  <c r="CF5" i="4"/>
  <c r="CE5" i="4"/>
  <c r="CD5" i="4"/>
  <c r="CC5" i="4"/>
  <c r="CB5" i="4"/>
  <c r="CA5" i="4"/>
  <c r="BZ5" i="4"/>
  <c r="BY5" i="4"/>
  <c r="BX5" i="4"/>
  <c r="BW5" i="4"/>
  <c r="BV5" i="4"/>
  <c r="BU5" i="4"/>
  <c r="BT5" i="4"/>
  <c r="BS5" i="4"/>
  <c r="BR5" i="4"/>
  <c r="BQ5" i="4"/>
  <c r="BP5" i="4"/>
  <c r="BO5" i="4"/>
  <c r="BN5" i="4"/>
  <c r="BM5" i="4"/>
  <c r="BL5" i="4"/>
  <c r="BK5" i="4"/>
  <c r="BJ5" i="4"/>
  <c r="BI5" i="4"/>
  <c r="BH5" i="4"/>
  <c r="BG5" i="4"/>
  <c r="BF5" i="4"/>
  <c r="BE5" i="4"/>
  <c r="BD5" i="4"/>
  <c r="BC5" i="4"/>
  <c r="BB5" i="4"/>
  <c r="BA5" i="4"/>
  <c r="AZ5" i="4"/>
  <c r="AY5" i="4"/>
  <c r="AX5" i="4"/>
  <c r="AW5" i="4"/>
  <c r="AV5" i="4"/>
  <c r="AU5" i="4"/>
  <c r="AT5" i="4"/>
  <c r="AS5" i="4"/>
  <c r="AR5" i="4"/>
  <c r="AQ5" i="4"/>
  <c r="AP5" i="4"/>
  <c r="AO5" i="4"/>
  <c r="AN5" i="4"/>
  <c r="AM5" i="4"/>
  <c r="AL5" i="4"/>
  <c r="AK5" i="4"/>
  <c r="AJ5" i="4"/>
  <c r="AI5" i="4"/>
  <c r="AH5" i="4"/>
  <c r="AG5" i="4"/>
  <c r="AF5" i="4"/>
  <c r="AE5" i="4"/>
  <c r="AD5" i="4"/>
  <c r="AC5" i="4"/>
  <c r="AB5" i="4"/>
  <c r="AA5" i="4"/>
  <c r="Z5" i="4"/>
  <c r="Y5" i="4"/>
  <c r="X5" i="4"/>
  <c r="W5" i="4"/>
  <c r="V5" i="4"/>
  <c r="U5" i="4"/>
  <c r="T5" i="4"/>
  <c r="S5" i="4"/>
  <c r="R5" i="4"/>
  <c r="Q5" i="4"/>
  <c r="P5" i="4"/>
  <c r="O5" i="4"/>
  <c r="N5" i="4"/>
  <c r="M5" i="4"/>
  <c r="L5" i="4"/>
  <c r="K5" i="4"/>
  <c r="J5" i="4"/>
  <c r="I5" i="4"/>
  <c r="H5" i="4"/>
  <c r="G5" i="4"/>
  <c r="F5" i="4"/>
  <c r="E5" i="4"/>
  <c r="D5" i="4"/>
  <c r="C5" i="4"/>
  <c r="B5" i="4"/>
  <c r="A5" i="4"/>
  <c r="IV4" i="4"/>
  <c r="IU4" i="4"/>
  <c r="IT4" i="4"/>
  <c r="IS4" i="4"/>
  <c r="IR4" i="4"/>
  <c r="IQ4" i="4"/>
  <c r="IP4" i="4"/>
  <c r="IO4" i="4"/>
  <c r="IN4" i="4"/>
  <c r="IM4" i="4"/>
  <c r="IL4" i="4"/>
  <c r="IK4" i="4"/>
  <c r="IJ4" i="4"/>
  <c r="II4" i="4"/>
  <c r="IH4" i="4"/>
  <c r="IG4" i="4"/>
  <c r="IF4" i="4"/>
  <c r="IE4" i="4"/>
  <c r="ID4" i="4"/>
  <c r="IC4" i="4"/>
  <c r="IB4" i="4"/>
  <c r="IA4" i="4"/>
  <c r="HZ4" i="4"/>
  <c r="HY4" i="4"/>
  <c r="HX4" i="4"/>
  <c r="HW4" i="4"/>
  <c r="HV4" i="4"/>
  <c r="HU4" i="4"/>
  <c r="HT4" i="4"/>
  <c r="HS4" i="4"/>
  <c r="HR4" i="4"/>
  <c r="HQ4" i="4"/>
  <c r="HP4" i="4"/>
  <c r="HO4" i="4"/>
  <c r="HN4" i="4"/>
  <c r="HM4" i="4"/>
  <c r="HL4" i="4"/>
  <c r="HK4" i="4"/>
  <c r="HJ4" i="4"/>
  <c r="HI4" i="4"/>
  <c r="HH4" i="4"/>
  <c r="HG4" i="4"/>
  <c r="HF4" i="4"/>
  <c r="HE4" i="4"/>
  <c r="HD4" i="4"/>
  <c r="HC4" i="4"/>
  <c r="HB4" i="4"/>
  <c r="HA4" i="4"/>
  <c r="GZ4" i="4"/>
  <c r="GY4" i="4"/>
  <c r="GX4" i="4"/>
  <c r="GW4" i="4"/>
  <c r="GV4" i="4"/>
  <c r="GU4" i="4"/>
  <c r="GT4" i="4"/>
  <c r="GS4" i="4"/>
  <c r="GR4" i="4"/>
  <c r="GQ4" i="4"/>
  <c r="GP4" i="4"/>
  <c r="GO4" i="4"/>
  <c r="GN4" i="4"/>
  <c r="GM4" i="4"/>
  <c r="GL4" i="4"/>
  <c r="GK4" i="4"/>
  <c r="GJ4" i="4"/>
  <c r="GI4" i="4"/>
  <c r="GH4" i="4"/>
  <c r="GG4" i="4"/>
  <c r="GF4" i="4"/>
  <c r="GE4" i="4"/>
  <c r="GD4" i="4"/>
  <c r="GC4" i="4"/>
  <c r="GB4" i="4"/>
  <c r="GA4" i="4"/>
  <c r="FZ4" i="4"/>
  <c r="FY4" i="4"/>
  <c r="FX4" i="4"/>
  <c r="FW4" i="4"/>
  <c r="FV4" i="4"/>
  <c r="FU4" i="4"/>
  <c r="FT4" i="4"/>
  <c r="FS4" i="4"/>
  <c r="FR4" i="4"/>
  <c r="FQ4" i="4"/>
  <c r="FP4" i="4"/>
  <c r="FO4" i="4"/>
  <c r="FN4" i="4"/>
  <c r="FM4" i="4"/>
  <c r="FL4" i="4"/>
  <c r="FK4" i="4"/>
  <c r="FJ4" i="4"/>
  <c r="FI4" i="4"/>
  <c r="FH4" i="4"/>
  <c r="FG4" i="4"/>
  <c r="FF4" i="4"/>
  <c r="FE4" i="4"/>
  <c r="FD4" i="4"/>
  <c r="FC4" i="4"/>
  <c r="FB4" i="4"/>
  <c r="FA4" i="4"/>
  <c r="EZ4" i="4"/>
  <c r="EY4" i="4"/>
  <c r="EX4" i="4"/>
  <c r="EW4" i="4"/>
  <c r="EV4" i="4"/>
  <c r="EU4" i="4"/>
  <c r="ET4" i="4"/>
  <c r="ES4" i="4"/>
  <c r="ER4" i="4"/>
  <c r="EQ4" i="4"/>
  <c r="EP4" i="4"/>
  <c r="EO4" i="4"/>
  <c r="EN4" i="4"/>
  <c r="EM4" i="4"/>
  <c r="EL4" i="4"/>
  <c r="EK4" i="4"/>
  <c r="EJ4" i="4"/>
  <c r="EI4" i="4"/>
  <c r="EH4" i="4"/>
  <c r="EG4" i="4"/>
  <c r="EF4" i="4"/>
  <c r="EE4" i="4"/>
  <c r="ED4" i="4"/>
  <c r="EC4" i="4"/>
  <c r="EB4" i="4"/>
  <c r="EA4" i="4"/>
  <c r="DZ4" i="4"/>
  <c r="DY4" i="4"/>
  <c r="DX4" i="4"/>
  <c r="DW4" i="4"/>
  <c r="DV4" i="4"/>
  <c r="DU4" i="4"/>
  <c r="DT4" i="4"/>
  <c r="DS4" i="4"/>
  <c r="DR4" i="4"/>
  <c r="DQ4" i="4"/>
  <c r="DP4" i="4"/>
  <c r="DO4" i="4"/>
  <c r="DN4" i="4"/>
  <c r="DM4" i="4"/>
  <c r="DL4" i="4"/>
  <c r="DK4" i="4"/>
  <c r="DJ4" i="4"/>
  <c r="DI4" i="4"/>
  <c r="DH4" i="4"/>
  <c r="DG4" i="4"/>
  <c r="DF4" i="4"/>
  <c r="DE4" i="4"/>
  <c r="DD4" i="4"/>
  <c r="DC4" i="4"/>
  <c r="DB4" i="4"/>
  <c r="DA4" i="4"/>
  <c r="CZ4" i="4"/>
  <c r="CY4" i="4"/>
  <c r="CX4" i="4"/>
  <c r="CW4" i="4"/>
  <c r="CV4" i="4"/>
  <c r="CU4" i="4"/>
  <c r="CT4" i="4"/>
  <c r="CS4" i="4"/>
  <c r="CR4" i="4"/>
  <c r="CQ4" i="4"/>
  <c r="CP4" i="4"/>
  <c r="CO4" i="4"/>
  <c r="CN4" i="4"/>
  <c r="CM4" i="4"/>
  <c r="CL4" i="4"/>
  <c r="CK4" i="4"/>
  <c r="CJ4" i="4"/>
  <c r="CI4" i="4"/>
  <c r="CH4" i="4"/>
  <c r="CG4" i="4"/>
  <c r="CF4" i="4"/>
  <c r="CE4" i="4"/>
  <c r="CD4" i="4"/>
  <c r="CC4" i="4"/>
  <c r="CB4" i="4"/>
  <c r="CA4" i="4"/>
  <c r="BZ4" i="4"/>
  <c r="BY4" i="4"/>
  <c r="BX4" i="4"/>
  <c r="BW4" i="4"/>
  <c r="BV4" i="4"/>
  <c r="BU4" i="4"/>
  <c r="BT4" i="4"/>
  <c r="BS4" i="4"/>
  <c r="BR4" i="4"/>
  <c r="BQ4" i="4"/>
  <c r="BP4" i="4"/>
  <c r="BO4" i="4"/>
  <c r="BN4" i="4"/>
  <c r="BM4" i="4"/>
  <c r="BL4" i="4"/>
  <c r="BK4" i="4"/>
  <c r="BJ4" i="4"/>
  <c r="BI4" i="4"/>
  <c r="BH4" i="4"/>
  <c r="BG4" i="4"/>
  <c r="BF4" i="4"/>
  <c r="BE4" i="4"/>
  <c r="BD4" i="4"/>
  <c r="BC4" i="4"/>
  <c r="BB4" i="4"/>
  <c r="BA4" i="4"/>
  <c r="AZ4" i="4"/>
  <c r="AY4" i="4"/>
  <c r="AX4" i="4"/>
  <c r="AW4" i="4"/>
  <c r="AV4" i="4"/>
  <c r="AU4" i="4"/>
  <c r="AT4" i="4"/>
  <c r="AS4" i="4"/>
  <c r="AR4" i="4"/>
  <c r="AQ4" i="4"/>
  <c r="AP4" i="4"/>
  <c r="AO4" i="4"/>
  <c r="AN4" i="4"/>
  <c r="AM4" i="4"/>
  <c r="AL4" i="4"/>
  <c r="AK4" i="4"/>
  <c r="AJ4" i="4"/>
  <c r="AI4" i="4"/>
  <c r="AH4" i="4"/>
  <c r="AG4" i="4"/>
  <c r="AF4" i="4"/>
  <c r="AE4" i="4"/>
  <c r="AD4" i="4"/>
  <c r="AC4" i="4"/>
  <c r="AB4" i="4"/>
  <c r="AA4" i="4"/>
  <c r="Z4" i="4"/>
  <c r="Y4" i="4"/>
  <c r="X4" i="4"/>
  <c r="W4" i="4"/>
  <c r="V4" i="4"/>
  <c r="U4" i="4"/>
  <c r="T4" i="4"/>
  <c r="S4" i="4"/>
  <c r="R4" i="4"/>
  <c r="Q4" i="4"/>
  <c r="P4" i="4"/>
  <c r="O4" i="4"/>
  <c r="N4" i="4"/>
  <c r="M4" i="4"/>
  <c r="L4" i="4"/>
  <c r="K4" i="4"/>
  <c r="J4" i="4"/>
  <c r="I4" i="4"/>
  <c r="H4" i="4"/>
  <c r="G4" i="4"/>
  <c r="F4" i="4"/>
  <c r="E4" i="4"/>
  <c r="D4" i="4"/>
  <c r="C4" i="4"/>
  <c r="B4" i="4"/>
  <c r="A4" i="4"/>
  <c r="IV3" i="4"/>
  <c r="IU3" i="4"/>
  <c r="IT3" i="4"/>
  <c r="IS3" i="4"/>
  <c r="IR3" i="4"/>
  <c r="IQ3" i="4"/>
  <c r="IP3" i="4"/>
  <c r="IO3" i="4"/>
  <c r="IN3" i="4"/>
  <c r="IM3" i="4"/>
  <c r="IL3" i="4"/>
  <c r="IK3" i="4"/>
  <c r="IJ3" i="4"/>
  <c r="II3" i="4"/>
  <c r="IH3" i="4"/>
  <c r="IG3" i="4"/>
  <c r="IF3" i="4"/>
  <c r="IE3" i="4"/>
  <c r="ID3" i="4"/>
  <c r="IC3" i="4"/>
  <c r="IB3" i="4"/>
  <c r="IA3" i="4"/>
  <c r="HZ3" i="4"/>
  <c r="HY3" i="4"/>
  <c r="HX3" i="4"/>
  <c r="HW3" i="4"/>
  <c r="HV3" i="4"/>
  <c r="HU3" i="4"/>
  <c r="HT3" i="4"/>
  <c r="HS3" i="4"/>
  <c r="HR3" i="4"/>
  <c r="HQ3" i="4"/>
  <c r="HP3" i="4"/>
  <c r="HO3" i="4"/>
  <c r="HN3" i="4"/>
  <c r="HM3" i="4"/>
  <c r="HL3" i="4"/>
  <c r="HK3" i="4"/>
  <c r="HJ3" i="4"/>
  <c r="HI3" i="4"/>
  <c r="HH3" i="4"/>
  <c r="HG3" i="4"/>
  <c r="HF3" i="4"/>
  <c r="HE3" i="4"/>
  <c r="HD3" i="4"/>
  <c r="HC3" i="4"/>
  <c r="HB3" i="4"/>
  <c r="HA3" i="4"/>
  <c r="GZ3" i="4"/>
  <c r="GY3" i="4"/>
  <c r="GX3" i="4"/>
  <c r="GW3" i="4"/>
  <c r="GV3" i="4"/>
  <c r="GU3" i="4"/>
  <c r="GT3" i="4"/>
  <c r="GS3" i="4"/>
  <c r="GR3" i="4"/>
  <c r="GQ3" i="4"/>
  <c r="GP3" i="4"/>
  <c r="GO3" i="4"/>
  <c r="GN3" i="4"/>
  <c r="GM3" i="4"/>
  <c r="GL3" i="4"/>
  <c r="GK3" i="4"/>
  <c r="GJ3" i="4"/>
  <c r="GI3" i="4"/>
  <c r="GH3" i="4"/>
  <c r="GG3" i="4"/>
  <c r="GF3" i="4"/>
  <c r="GE3" i="4"/>
  <c r="GD3" i="4"/>
  <c r="GC3" i="4"/>
  <c r="GB3" i="4"/>
  <c r="GA3" i="4"/>
  <c r="FZ3" i="4"/>
  <c r="FY3" i="4"/>
  <c r="FX3" i="4"/>
  <c r="FW3" i="4"/>
  <c r="FV3" i="4"/>
  <c r="FU3" i="4"/>
  <c r="FT3" i="4"/>
  <c r="FS3" i="4"/>
  <c r="FR3" i="4"/>
  <c r="FQ3" i="4"/>
  <c r="FP3" i="4"/>
  <c r="FO3" i="4"/>
  <c r="FN3" i="4"/>
  <c r="FM3" i="4"/>
  <c r="FL3" i="4"/>
  <c r="FK3" i="4"/>
  <c r="FJ3" i="4"/>
  <c r="FI3" i="4"/>
  <c r="FH3" i="4"/>
  <c r="FG3" i="4"/>
  <c r="FF3" i="4"/>
  <c r="FE3" i="4"/>
  <c r="FD3" i="4"/>
  <c r="FC3" i="4"/>
  <c r="FB3" i="4"/>
  <c r="FA3" i="4"/>
  <c r="EZ3" i="4"/>
  <c r="EY3" i="4"/>
  <c r="EX3" i="4"/>
  <c r="EW3" i="4"/>
  <c r="EV3" i="4"/>
  <c r="EU3" i="4"/>
  <c r="ET3" i="4"/>
  <c r="ES3" i="4"/>
  <c r="ER3" i="4"/>
  <c r="EQ3" i="4"/>
  <c r="EP3" i="4"/>
  <c r="EO3" i="4"/>
  <c r="EN3" i="4"/>
  <c r="EM3" i="4"/>
  <c r="EL3" i="4"/>
  <c r="EK3" i="4"/>
  <c r="EJ3" i="4"/>
  <c r="EI3" i="4"/>
  <c r="EH3" i="4"/>
  <c r="EG3" i="4"/>
  <c r="EF3" i="4"/>
  <c r="EE3" i="4"/>
  <c r="ED3" i="4"/>
  <c r="EC3" i="4"/>
  <c r="EB3" i="4"/>
  <c r="EA3" i="4"/>
  <c r="DZ3" i="4"/>
  <c r="DY3" i="4"/>
  <c r="DX3" i="4"/>
  <c r="DW3" i="4"/>
  <c r="DV3" i="4"/>
  <c r="DU3" i="4"/>
  <c r="DT3" i="4"/>
  <c r="DS3" i="4"/>
  <c r="DR3" i="4"/>
  <c r="DQ3" i="4"/>
  <c r="DP3" i="4"/>
  <c r="DO3" i="4"/>
  <c r="DN3" i="4"/>
  <c r="DM3" i="4"/>
  <c r="DL3" i="4"/>
  <c r="DK3" i="4"/>
  <c r="DJ3" i="4"/>
  <c r="DI3" i="4"/>
  <c r="DH3" i="4"/>
  <c r="DG3" i="4"/>
  <c r="DF3" i="4"/>
  <c r="DE3" i="4"/>
  <c r="DD3" i="4"/>
  <c r="DC3" i="4"/>
  <c r="DB3" i="4"/>
  <c r="DA3" i="4"/>
  <c r="CZ3" i="4"/>
  <c r="CY3" i="4"/>
  <c r="CX3" i="4"/>
  <c r="CW3" i="4"/>
  <c r="CV3" i="4"/>
  <c r="CU3" i="4"/>
  <c r="CT3" i="4"/>
  <c r="CS3" i="4"/>
  <c r="CR3" i="4"/>
  <c r="CQ3" i="4"/>
  <c r="CP3" i="4"/>
  <c r="CO3" i="4"/>
  <c r="CN3" i="4"/>
  <c r="CM3" i="4"/>
  <c r="CL3" i="4"/>
  <c r="CK3" i="4"/>
  <c r="CJ3" i="4"/>
  <c r="CI3" i="4"/>
  <c r="CH3" i="4"/>
  <c r="CG3" i="4"/>
  <c r="CF3" i="4"/>
  <c r="CE3" i="4"/>
  <c r="CD3" i="4"/>
  <c r="CC3" i="4"/>
  <c r="CB3" i="4"/>
  <c r="CA3" i="4"/>
  <c r="BZ3" i="4"/>
  <c r="BY3" i="4"/>
  <c r="BX3" i="4"/>
  <c r="BW3" i="4"/>
  <c r="BV3" i="4"/>
  <c r="BU3" i="4"/>
  <c r="BT3" i="4"/>
  <c r="BS3" i="4"/>
  <c r="BR3" i="4"/>
  <c r="BQ3" i="4"/>
  <c r="BP3" i="4"/>
  <c r="BO3" i="4"/>
  <c r="BN3" i="4"/>
  <c r="BM3" i="4"/>
  <c r="BL3" i="4"/>
  <c r="BK3" i="4"/>
  <c r="BJ3" i="4"/>
  <c r="BI3" i="4"/>
  <c r="BH3" i="4"/>
  <c r="BG3" i="4"/>
  <c r="BF3" i="4"/>
  <c r="BE3" i="4"/>
  <c r="BD3" i="4"/>
  <c r="BC3" i="4"/>
  <c r="BB3" i="4"/>
  <c r="BA3" i="4"/>
  <c r="AZ3" i="4"/>
  <c r="AY3" i="4"/>
  <c r="AX3" i="4"/>
  <c r="AW3" i="4"/>
  <c r="AV3" i="4"/>
  <c r="AU3" i="4"/>
  <c r="AT3" i="4"/>
  <c r="AS3" i="4"/>
  <c r="AR3" i="4"/>
  <c r="AQ3" i="4"/>
  <c r="AP3" i="4"/>
  <c r="AO3" i="4"/>
  <c r="AN3" i="4"/>
  <c r="AM3" i="4"/>
  <c r="AL3" i="4"/>
  <c r="AK3" i="4"/>
  <c r="AJ3" i="4"/>
  <c r="AI3" i="4"/>
  <c r="AH3" i="4"/>
  <c r="AG3" i="4"/>
  <c r="AF3" i="4"/>
  <c r="AE3" i="4"/>
  <c r="AD3" i="4"/>
  <c r="AC3" i="4"/>
  <c r="AB3" i="4"/>
  <c r="AA3" i="4"/>
  <c r="Z3" i="4"/>
  <c r="Y3" i="4"/>
  <c r="X3" i="4"/>
  <c r="W3" i="4"/>
  <c r="V3" i="4"/>
  <c r="U3" i="4"/>
  <c r="T3" i="4"/>
  <c r="S3" i="4"/>
  <c r="R3" i="4"/>
  <c r="Q3" i="4"/>
  <c r="P3" i="4"/>
  <c r="O3" i="4"/>
  <c r="N3" i="4"/>
  <c r="M3" i="4"/>
  <c r="L3" i="4"/>
  <c r="K3" i="4"/>
  <c r="J3" i="4"/>
  <c r="I3" i="4"/>
  <c r="H3" i="4"/>
  <c r="G3" i="4"/>
  <c r="F3" i="4"/>
  <c r="E3" i="4"/>
  <c r="D3" i="4"/>
  <c r="C3" i="4"/>
  <c r="B3" i="4"/>
  <c r="A3" i="4"/>
  <c r="IV2" i="4"/>
  <c r="IU2" i="4"/>
  <c r="IT2" i="4"/>
  <c r="IS2" i="4"/>
  <c r="IR2" i="4"/>
  <c r="IQ2" i="4"/>
  <c r="IP2" i="4"/>
  <c r="IO2" i="4"/>
  <c r="IN2" i="4"/>
  <c r="IM2" i="4"/>
  <c r="IL2" i="4"/>
  <c r="IK2" i="4"/>
  <c r="IJ2" i="4"/>
  <c r="II2" i="4"/>
  <c r="IH2" i="4"/>
  <c r="IG2" i="4"/>
  <c r="IF2" i="4"/>
  <c r="IE2" i="4"/>
  <c r="ID2" i="4"/>
  <c r="IC2" i="4"/>
  <c r="IB2" i="4"/>
  <c r="IA2" i="4"/>
  <c r="HZ2" i="4"/>
  <c r="HY2" i="4"/>
  <c r="HX2" i="4"/>
  <c r="HW2" i="4"/>
  <c r="HV2" i="4"/>
  <c r="HU2" i="4"/>
  <c r="HT2" i="4"/>
  <c r="HS2" i="4"/>
  <c r="HR2" i="4"/>
  <c r="HQ2" i="4"/>
  <c r="HP2" i="4"/>
  <c r="HO2" i="4"/>
  <c r="HN2" i="4"/>
  <c r="HM2" i="4"/>
  <c r="HL2" i="4"/>
  <c r="HK2" i="4"/>
  <c r="HJ2" i="4"/>
  <c r="HI2" i="4"/>
  <c r="HH2" i="4"/>
  <c r="HG2" i="4"/>
  <c r="HF2" i="4"/>
  <c r="HE2" i="4"/>
  <c r="HD2" i="4"/>
  <c r="HC2" i="4"/>
  <c r="HB2" i="4"/>
  <c r="HA2" i="4"/>
  <c r="GZ2" i="4"/>
  <c r="GY2" i="4"/>
  <c r="GX2" i="4"/>
  <c r="GW2" i="4"/>
  <c r="GV2" i="4"/>
  <c r="GU2" i="4"/>
  <c r="GT2" i="4"/>
  <c r="GS2" i="4"/>
  <c r="GR2" i="4"/>
  <c r="GQ2" i="4"/>
  <c r="GP2" i="4"/>
  <c r="GO2" i="4"/>
  <c r="GN2" i="4"/>
  <c r="GM2" i="4"/>
  <c r="GL2" i="4"/>
  <c r="GK2" i="4"/>
  <c r="GJ2" i="4"/>
  <c r="GI2" i="4"/>
  <c r="GH2" i="4"/>
  <c r="GG2" i="4"/>
  <c r="GF2" i="4"/>
  <c r="GE2" i="4"/>
  <c r="GD2" i="4"/>
  <c r="GC2" i="4"/>
  <c r="GB2" i="4"/>
  <c r="GA2" i="4"/>
  <c r="FZ2" i="4"/>
  <c r="FY2" i="4"/>
  <c r="FX2" i="4"/>
  <c r="FW2" i="4"/>
  <c r="FV2" i="4"/>
  <c r="FU2" i="4"/>
  <c r="FT2" i="4"/>
  <c r="FS2" i="4"/>
  <c r="FR2" i="4"/>
  <c r="FQ2" i="4"/>
  <c r="FP2" i="4"/>
  <c r="FO2" i="4"/>
  <c r="FN2" i="4"/>
  <c r="FM2" i="4"/>
  <c r="FL2" i="4"/>
  <c r="FK2" i="4"/>
  <c r="FJ2" i="4"/>
  <c r="FI2" i="4"/>
  <c r="FH2" i="4"/>
  <c r="FG2" i="4"/>
  <c r="FF2" i="4"/>
  <c r="FE2" i="4"/>
  <c r="FD2" i="4"/>
  <c r="FC2" i="4"/>
  <c r="FB2" i="4"/>
  <c r="FA2" i="4"/>
  <c r="EZ2" i="4"/>
  <c r="EY2" i="4"/>
  <c r="EX2" i="4"/>
  <c r="EW2" i="4"/>
  <c r="EV2" i="4"/>
  <c r="EU2" i="4"/>
  <c r="ET2" i="4"/>
  <c r="ES2" i="4"/>
  <c r="ER2" i="4"/>
  <c r="EQ2" i="4"/>
  <c r="EP2" i="4"/>
  <c r="EO2" i="4"/>
  <c r="EN2" i="4"/>
  <c r="EM2" i="4"/>
  <c r="EL2" i="4"/>
  <c r="EK2" i="4"/>
  <c r="EJ2" i="4"/>
  <c r="EI2" i="4"/>
  <c r="EH2" i="4"/>
  <c r="EG2" i="4"/>
  <c r="EF2" i="4"/>
  <c r="EE2" i="4"/>
  <c r="ED2" i="4"/>
  <c r="EC2" i="4"/>
  <c r="EB2" i="4"/>
  <c r="EA2" i="4"/>
  <c r="DZ2" i="4"/>
  <c r="DY2" i="4"/>
  <c r="DX2" i="4"/>
  <c r="DW2" i="4"/>
  <c r="DV2" i="4"/>
  <c r="DU2" i="4"/>
  <c r="DT2" i="4"/>
  <c r="DS2" i="4"/>
  <c r="DR2" i="4"/>
  <c r="DQ2" i="4"/>
  <c r="DP2" i="4"/>
  <c r="DO2" i="4"/>
  <c r="DN2" i="4"/>
  <c r="DM2" i="4"/>
  <c r="DL2" i="4"/>
  <c r="DK2" i="4"/>
  <c r="DJ2" i="4"/>
  <c r="DI2" i="4"/>
  <c r="DH2" i="4"/>
  <c r="DG2" i="4"/>
  <c r="DF2" i="4"/>
  <c r="DE2" i="4"/>
  <c r="DD2" i="4"/>
  <c r="DC2" i="4"/>
  <c r="DB2" i="4"/>
  <c r="DA2" i="4"/>
  <c r="CZ2" i="4"/>
  <c r="CY2" i="4"/>
  <c r="CX2" i="4"/>
  <c r="CW2" i="4"/>
  <c r="CV2" i="4"/>
  <c r="CU2" i="4"/>
  <c r="CT2" i="4"/>
  <c r="CS2" i="4"/>
  <c r="CR2" i="4"/>
  <c r="CQ2" i="4"/>
  <c r="CP2" i="4"/>
  <c r="CO2" i="4"/>
  <c r="CN2" i="4"/>
  <c r="CM2" i="4"/>
  <c r="CL2" i="4"/>
  <c r="CK2" i="4"/>
  <c r="CJ2" i="4"/>
  <c r="CI2" i="4"/>
  <c r="CH2" i="4"/>
  <c r="CG2" i="4"/>
  <c r="CF2" i="4"/>
  <c r="CE2" i="4"/>
  <c r="CD2" i="4"/>
  <c r="CC2" i="4"/>
  <c r="CB2" i="4"/>
  <c r="CA2" i="4"/>
  <c r="BZ2" i="4"/>
  <c r="BY2" i="4"/>
  <c r="BX2" i="4"/>
  <c r="BW2" i="4"/>
  <c r="BV2" i="4"/>
  <c r="BU2" i="4"/>
  <c r="BT2" i="4"/>
  <c r="BS2" i="4"/>
  <c r="BR2" i="4"/>
  <c r="BQ2" i="4"/>
  <c r="BP2" i="4"/>
  <c r="BO2" i="4"/>
  <c r="BN2" i="4"/>
  <c r="BM2" i="4"/>
  <c r="BL2" i="4"/>
  <c r="BK2" i="4"/>
  <c r="BJ2" i="4"/>
  <c r="BI2" i="4"/>
  <c r="BH2" i="4"/>
  <c r="BG2" i="4"/>
  <c r="BF2" i="4"/>
  <c r="BE2" i="4"/>
  <c r="BD2" i="4"/>
  <c r="BC2" i="4"/>
  <c r="BB2" i="4"/>
  <c r="BA2" i="4"/>
  <c r="AZ2" i="4"/>
  <c r="AY2" i="4"/>
  <c r="AX2" i="4"/>
  <c r="AW2" i="4"/>
  <c r="AV2" i="4"/>
  <c r="AU2" i="4"/>
  <c r="AT2" i="4"/>
  <c r="AS2" i="4"/>
  <c r="AR2" i="4"/>
  <c r="AQ2" i="4"/>
  <c r="AP2" i="4"/>
  <c r="AO2" i="4"/>
  <c r="AN2" i="4"/>
  <c r="AM2" i="4"/>
  <c r="AL2" i="4"/>
  <c r="AK2" i="4"/>
  <c r="AJ2" i="4"/>
  <c r="AI2" i="4"/>
  <c r="AH2" i="4"/>
  <c r="AG2" i="4"/>
  <c r="AF2" i="4"/>
  <c r="AE2" i="4"/>
  <c r="AD2" i="4"/>
  <c r="AC2" i="4"/>
  <c r="AB2" i="4"/>
  <c r="AA2" i="4"/>
  <c r="Z2" i="4"/>
  <c r="Y2" i="4"/>
  <c r="X2" i="4"/>
  <c r="W2" i="4"/>
  <c r="V2" i="4"/>
  <c r="U2" i="4"/>
  <c r="T2" i="4"/>
  <c r="S2" i="4"/>
  <c r="R2" i="4"/>
  <c r="Q2" i="4"/>
  <c r="P2" i="4"/>
  <c r="O2" i="4"/>
  <c r="N2" i="4"/>
  <c r="M2" i="4"/>
  <c r="L2" i="4"/>
  <c r="K2" i="4"/>
  <c r="J2" i="4"/>
  <c r="I2" i="4"/>
  <c r="H2" i="4"/>
  <c r="G2" i="4"/>
  <c r="F2" i="4"/>
  <c r="E2" i="4"/>
  <c r="D2" i="4"/>
  <c r="C2" i="4"/>
  <c r="B2" i="4"/>
  <c r="A2" i="4"/>
  <c r="IV1" i="4"/>
  <c r="IU1" i="4"/>
  <c r="IT1" i="4"/>
  <c r="IS1" i="4"/>
  <c r="IR1" i="4"/>
  <c r="IQ1" i="4"/>
  <c r="IP1" i="4"/>
  <c r="IO1" i="4"/>
  <c r="IN1" i="4"/>
  <c r="IM1" i="4"/>
  <c r="IL1" i="4"/>
  <c r="IK1" i="4"/>
  <c r="IJ1" i="4"/>
  <c r="II1" i="4"/>
  <c r="IH1" i="4"/>
  <c r="IG1" i="4"/>
  <c r="IF1" i="4"/>
  <c r="IE1" i="4"/>
  <c r="ID1" i="4"/>
  <c r="IC1" i="4"/>
  <c r="IB1" i="4"/>
  <c r="IA1" i="4"/>
  <c r="HZ1" i="4"/>
  <c r="HY1" i="4"/>
  <c r="HX1" i="4"/>
  <c r="HW1" i="4"/>
  <c r="HV1" i="4"/>
  <c r="HU1" i="4"/>
  <c r="HT1" i="4"/>
  <c r="HS1" i="4"/>
  <c r="HR1" i="4"/>
  <c r="HQ1" i="4"/>
  <c r="HP1" i="4"/>
  <c r="HO1" i="4"/>
  <c r="HN1" i="4"/>
  <c r="HM1" i="4"/>
  <c r="HL1" i="4"/>
  <c r="HK1" i="4"/>
  <c r="HJ1" i="4"/>
  <c r="HI1" i="4"/>
  <c r="HH1" i="4"/>
  <c r="HG1" i="4"/>
  <c r="HF1" i="4"/>
  <c r="HE1" i="4"/>
  <c r="HD1" i="4"/>
  <c r="HC1" i="4"/>
  <c r="HB1" i="4"/>
  <c r="HA1" i="4"/>
  <c r="GZ1" i="4"/>
  <c r="GY1" i="4"/>
  <c r="GX1" i="4"/>
  <c r="GW1" i="4"/>
  <c r="GV1" i="4"/>
  <c r="GU1" i="4"/>
  <c r="GT1" i="4"/>
  <c r="GS1" i="4"/>
  <c r="GR1" i="4"/>
  <c r="GQ1" i="4"/>
  <c r="GP1" i="4"/>
  <c r="GO1" i="4"/>
  <c r="GN1" i="4"/>
  <c r="GM1" i="4"/>
  <c r="GL1" i="4"/>
  <c r="GK1" i="4"/>
  <c r="GJ1" i="4"/>
  <c r="GI1" i="4"/>
  <c r="GH1" i="4"/>
  <c r="GG1" i="4"/>
  <c r="GF1" i="4"/>
  <c r="GE1" i="4"/>
  <c r="GD1" i="4"/>
  <c r="GC1" i="4"/>
  <c r="GB1" i="4"/>
  <c r="GA1" i="4"/>
  <c r="FZ1" i="4"/>
  <c r="FY1" i="4"/>
  <c r="FX1" i="4"/>
  <c r="FW1" i="4"/>
  <c r="FV1" i="4"/>
  <c r="FU1" i="4"/>
  <c r="FT1" i="4"/>
  <c r="FS1" i="4"/>
  <c r="FR1" i="4"/>
  <c r="FQ1" i="4"/>
  <c r="FP1" i="4"/>
  <c r="FO1" i="4"/>
  <c r="FN1" i="4"/>
  <c r="FM1" i="4"/>
  <c r="FL1" i="4"/>
  <c r="FK1" i="4"/>
  <c r="FJ1" i="4"/>
  <c r="FI1" i="4"/>
  <c r="FH1" i="4"/>
  <c r="FG1" i="4"/>
  <c r="FF1" i="4"/>
  <c r="FE1" i="4"/>
  <c r="FD1" i="4"/>
  <c r="FC1" i="4"/>
  <c r="FB1" i="4"/>
  <c r="FA1" i="4"/>
  <c r="EZ1" i="4"/>
  <c r="EY1" i="4"/>
  <c r="EX1" i="4"/>
  <c r="EW1" i="4"/>
  <c r="EV1" i="4"/>
  <c r="EU1" i="4"/>
  <c r="ET1" i="4"/>
  <c r="ES1" i="4"/>
  <c r="ER1" i="4"/>
  <c r="EQ1" i="4"/>
  <c r="EP1" i="4"/>
  <c r="EO1" i="4"/>
  <c r="EN1" i="4"/>
  <c r="EM1" i="4"/>
  <c r="EL1" i="4"/>
  <c r="EK1" i="4"/>
  <c r="EJ1" i="4"/>
  <c r="EI1" i="4"/>
  <c r="EH1" i="4"/>
  <c r="EG1" i="4"/>
  <c r="EF1" i="4"/>
  <c r="EE1" i="4"/>
  <c r="ED1" i="4"/>
  <c r="EC1" i="4"/>
  <c r="EB1" i="4"/>
  <c r="EA1" i="4"/>
  <c r="DZ1" i="4"/>
  <c r="DY1" i="4"/>
  <c r="DX1" i="4"/>
  <c r="DW1" i="4"/>
  <c r="DV1" i="4"/>
  <c r="DU1" i="4"/>
  <c r="DT1" i="4"/>
  <c r="DS1" i="4"/>
  <c r="DR1" i="4"/>
  <c r="DQ1" i="4"/>
  <c r="DP1" i="4"/>
  <c r="DO1" i="4"/>
  <c r="DN1" i="4"/>
  <c r="DM1" i="4"/>
  <c r="DL1" i="4"/>
  <c r="DK1" i="4"/>
  <c r="DJ1" i="4"/>
  <c r="DI1" i="4"/>
  <c r="DH1" i="4"/>
  <c r="DG1" i="4"/>
  <c r="DF1" i="4"/>
  <c r="DE1" i="4"/>
  <c r="DD1" i="4"/>
  <c r="DC1" i="4"/>
  <c r="DB1" i="4"/>
  <c r="DA1" i="4"/>
  <c r="CZ1" i="4"/>
  <c r="CY1" i="4"/>
  <c r="CX1" i="4"/>
  <c r="CW1" i="4"/>
  <c r="CV1" i="4"/>
  <c r="CU1" i="4"/>
  <c r="CT1" i="4"/>
  <c r="CS1" i="4"/>
  <c r="CR1" i="4"/>
  <c r="CQ1" i="4"/>
  <c r="CP1" i="4"/>
  <c r="CO1" i="4"/>
  <c r="CN1" i="4"/>
  <c r="CM1" i="4"/>
  <c r="CL1" i="4"/>
  <c r="CK1" i="4"/>
  <c r="CJ1" i="4"/>
  <c r="CI1" i="4"/>
  <c r="CH1" i="4"/>
  <c r="CG1" i="4"/>
  <c r="CF1" i="4"/>
  <c r="CE1" i="4"/>
  <c r="CD1" i="4"/>
  <c r="CC1" i="4"/>
  <c r="CB1" i="4"/>
  <c r="CA1" i="4"/>
  <c r="BZ1" i="4"/>
  <c r="BY1" i="4"/>
  <c r="BX1" i="4"/>
  <c r="BW1" i="4"/>
  <c r="BV1" i="4"/>
  <c r="BU1" i="4"/>
  <c r="BT1" i="4"/>
  <c r="BS1" i="4"/>
  <c r="BR1" i="4"/>
  <c r="BQ1" i="4"/>
  <c r="BP1" i="4"/>
  <c r="BO1" i="4"/>
  <c r="BN1" i="4"/>
  <c r="BM1" i="4"/>
  <c r="BL1" i="4"/>
  <c r="BK1" i="4"/>
  <c r="BJ1" i="4"/>
  <c r="BI1" i="4"/>
  <c r="BH1" i="4"/>
  <c r="BG1" i="4"/>
  <c r="BF1" i="4"/>
  <c r="BE1" i="4"/>
  <c r="BD1" i="4"/>
  <c r="BC1" i="4"/>
  <c r="BB1" i="4"/>
  <c r="BA1" i="4"/>
  <c r="AZ1" i="4"/>
  <c r="AY1" i="4"/>
  <c r="AX1" i="4"/>
  <c r="AW1" i="4"/>
  <c r="AV1" i="4"/>
  <c r="AU1" i="4"/>
  <c r="AT1" i="4"/>
  <c r="AS1" i="4"/>
  <c r="AR1" i="4"/>
  <c r="AQ1" i="4"/>
  <c r="AP1" i="4"/>
  <c r="AO1" i="4"/>
  <c r="AN1" i="4"/>
  <c r="AM1" i="4"/>
  <c r="AL1" i="4"/>
  <c r="AK1" i="4"/>
  <c r="AJ1" i="4"/>
  <c r="AI1" i="4"/>
  <c r="AH1" i="4"/>
  <c r="AG1" i="4"/>
  <c r="AF1" i="4"/>
  <c r="AE1" i="4"/>
  <c r="AD1" i="4"/>
  <c r="AC1" i="4"/>
  <c r="AB1" i="4"/>
  <c r="AA1" i="4"/>
  <c r="Z1" i="4"/>
  <c r="Y1" i="4"/>
  <c r="X1" i="4"/>
  <c r="W1" i="4"/>
  <c r="V1" i="4"/>
  <c r="U1" i="4"/>
  <c r="T1" i="4"/>
  <c r="S1" i="4"/>
  <c r="R1" i="4"/>
  <c r="Q1" i="4"/>
  <c r="P1" i="4"/>
  <c r="O1" i="4"/>
  <c r="N1" i="4"/>
  <c r="M1" i="4"/>
  <c r="L1" i="4"/>
  <c r="K1" i="4"/>
  <c r="J1" i="4"/>
  <c r="I1" i="4"/>
  <c r="H1" i="4"/>
  <c r="G1" i="4"/>
  <c r="F1" i="4"/>
  <c r="E1" i="4"/>
  <c r="D1" i="4"/>
  <c r="C1" i="4"/>
  <c r="B1" i="4"/>
  <c r="A1" i="4"/>
</calcChain>
</file>

<file path=xl/sharedStrings.xml><?xml version="1.0" encoding="utf-8"?>
<sst xmlns="http://schemas.openxmlformats.org/spreadsheetml/2006/main" count="81" uniqueCount="67">
  <si>
    <t>Spiller-navn:</t>
  </si>
  <si>
    <t>Trup:</t>
  </si>
  <si>
    <t>Herrer</t>
  </si>
  <si>
    <t>Formål:</t>
  </si>
  <si>
    <t>(sæt x)</t>
  </si>
  <si>
    <t>Træningssamling</t>
  </si>
  <si>
    <t>Rejsemål/aktivitet:</t>
  </si>
  <si>
    <t>Træningslejr</t>
  </si>
  <si>
    <t>Turnering</t>
  </si>
  <si>
    <t>Dato:</t>
  </si>
  <si>
    <t>Sponsor-event</t>
  </si>
  <si>
    <r>
      <rPr>
        <b/>
        <sz val="10"/>
        <color theme="1"/>
        <rFont val="Verdana"/>
      </rPr>
      <t xml:space="preserve">OBS! Skriv venligst </t>
    </r>
    <r>
      <rPr>
        <i/>
        <u/>
        <sz val="10"/>
        <color theme="1"/>
        <rFont val="Verdana"/>
      </rPr>
      <t>ikke</t>
    </r>
    <r>
      <rPr>
        <b/>
        <sz val="10"/>
        <color theme="1"/>
        <rFont val="Verdana"/>
      </rPr>
      <t xml:space="preserve"> i de grå felter/bokse - disse udfyldes af DGU</t>
    </r>
  </si>
  <si>
    <t>Kørsel - træningssamlinger, træningslejre og turneringer</t>
  </si>
  <si>
    <r>
      <rPr>
        <b/>
        <u/>
        <sz val="8"/>
        <color theme="1"/>
        <rFont val="Verdana"/>
      </rPr>
      <t>Kørsel i egen bil</t>
    </r>
    <r>
      <rPr>
        <b/>
        <i/>
        <u/>
        <sz val="8"/>
        <color theme="1"/>
        <rFont val="Verdana"/>
      </rPr>
      <t xml:space="preserve"> til og/eller fra aktiviteten </t>
    </r>
    <r>
      <rPr>
        <b/>
        <u/>
        <sz val="8"/>
        <color theme="1"/>
        <rFont val="Verdana"/>
      </rPr>
      <t>med spillere i bilen</t>
    </r>
  </si>
  <si>
    <t>Sats:</t>
  </si>
  <si>
    <t>Beløb:</t>
  </si>
  <si>
    <t>Kørsel, alene</t>
  </si>
  <si>
    <t>KM i alt</t>
  </si>
  <si>
    <t>x 1,00 =</t>
  </si>
  <si>
    <t>= A-indkomst*, som beskattes</t>
  </si>
  <si>
    <t>Kørsel, flere**</t>
  </si>
  <si>
    <r>
      <rPr>
        <i/>
        <sz val="8"/>
        <color theme="1"/>
        <rFont val="Verdana"/>
      </rPr>
      <t xml:space="preserve">OBS! Der ydes </t>
    </r>
    <r>
      <rPr>
        <i/>
        <u/>
        <sz val="8"/>
        <color theme="1"/>
        <rFont val="Verdana"/>
      </rPr>
      <t>kun</t>
    </r>
    <r>
      <rPr>
        <i/>
        <sz val="8"/>
        <color theme="1"/>
        <rFont val="Verdana"/>
      </rPr>
      <t xml:space="preserve"> kørselsgodtgørelse for</t>
    </r>
  </si>
  <si>
    <t>KM, hvor der er spillere i bilen.</t>
  </si>
  <si>
    <t>Har haft følgende personer med (ud/hjem):</t>
  </si>
  <si>
    <t>Navn på chauffør:</t>
  </si>
  <si>
    <r>
      <rPr>
        <b/>
        <u/>
        <sz val="8"/>
        <color theme="1"/>
        <rFont val="Verdana"/>
      </rPr>
      <t xml:space="preserve">Kørsel i egen bil </t>
    </r>
    <r>
      <rPr>
        <b/>
        <i/>
        <u/>
        <sz val="8"/>
        <color theme="1"/>
        <rFont val="Verdana"/>
      </rPr>
      <t>under aktiviteten:</t>
    </r>
  </si>
  <si>
    <t xml:space="preserve">Beløb: </t>
  </si>
  <si>
    <t>Kørsel, alene og uden udstyr</t>
  </si>
  <si>
    <t>Kørsel, flere og/eller m. udstyr</t>
  </si>
  <si>
    <t>Har haft følgende personer med:</t>
  </si>
  <si>
    <t>Har haft flg. udstyr med:</t>
  </si>
  <si>
    <r>
      <rPr>
        <b/>
        <u/>
        <sz val="8"/>
        <color theme="1"/>
        <rFont val="Verdana"/>
      </rPr>
      <t>Kilometergodtgørelse i alt</t>
    </r>
    <r>
      <rPr>
        <b/>
        <i/>
        <u/>
        <sz val="8"/>
        <color theme="1"/>
        <rFont val="Verdana"/>
      </rPr>
      <t>:</t>
    </r>
  </si>
  <si>
    <t>Kørsel - sponsorarrangementer:</t>
  </si>
  <si>
    <t xml:space="preserve">Kørsel i egen bil </t>
  </si>
  <si>
    <t xml:space="preserve"> </t>
  </si>
  <si>
    <t>Er blevet kørt af følgende person til aktiviteten:</t>
  </si>
  <si>
    <t>Andre udgifter</t>
  </si>
  <si>
    <t>Valuta:</t>
  </si>
  <si>
    <t>Transport (husk bilag)</t>
  </si>
  <si>
    <t>(tog, bus, bro*** mm.)</t>
  </si>
  <si>
    <t>Diverse udgifter (husk bilag) jf. forhåndsaftale</t>
  </si>
  <si>
    <t>Eventuelle bemærkninger:</t>
  </si>
  <si>
    <t>Dato og underskrift:</t>
  </si>
  <si>
    <r>
      <rPr>
        <sz val="10"/>
        <color theme="1"/>
        <rFont val="Verdana"/>
      </rPr>
      <t xml:space="preserve">Afregningen </t>
    </r>
    <r>
      <rPr>
        <b/>
        <sz val="10"/>
        <color theme="1"/>
        <rFont val="Verdana"/>
      </rPr>
      <t>skal</t>
    </r>
    <r>
      <rPr>
        <sz val="10"/>
        <color theme="1"/>
        <rFont val="Verdana"/>
      </rPr>
      <t xml:space="preserve"> fremsendes </t>
    </r>
    <r>
      <rPr>
        <b/>
        <sz val="10"/>
        <color theme="1"/>
        <rFont val="Verdana"/>
      </rPr>
      <t>senest 8 dage</t>
    </r>
    <r>
      <rPr>
        <sz val="10"/>
        <color theme="1"/>
        <rFont val="Verdana"/>
      </rPr>
      <t xml:space="preserve"> efter aktiviteten til: </t>
    </r>
  </si>
  <si>
    <t>Katrine Kring Lorentzen, klo@dgu.org</t>
  </si>
  <si>
    <t>Noter:</t>
  </si>
  <si>
    <t xml:space="preserve">*) På selvangivelsen kan modregnes et normal befordringsfradrag </t>
  </si>
  <si>
    <t xml:space="preserve"> – dog kan fradraget ikke overstige indtægten. Se også mulighed for skattefri dækning af broafgift.</t>
  </si>
  <si>
    <t>***) Bro- og parkeringsafgifter mv. dækkes som udgangspunkt ikke og slet ikke uden forhåndsaftale</t>
  </si>
  <si>
    <t xml:space="preserve"> - dog kan sådanne afgifter bruges til at reducere evt. indberetning af A-indkomst, såfremt en spiller kører alene</t>
  </si>
  <si>
    <t>Skriv venligst ikke i nedenstående - udfyldes af DGU</t>
  </si>
  <si>
    <t>Kontering</t>
  </si>
  <si>
    <t>Konto:</t>
  </si>
  <si>
    <t>Spec 2:</t>
  </si>
  <si>
    <t>Spec 3:</t>
  </si>
  <si>
    <t>Transport iflg. bilag</t>
  </si>
  <si>
    <t>Diverse udgifter iflg. bilag</t>
  </si>
  <si>
    <t>Kilometergodtgørelse i alt</t>
  </si>
  <si>
    <t>Til udbetaling:</t>
  </si>
  <si>
    <t>Godkendt af:</t>
  </si>
  <si>
    <t>Til indberetning som A-indkomst:</t>
  </si>
  <si>
    <t>AAAAAHlvfr4=</t>
  </si>
  <si>
    <t>Afregningsbilag, spillere - 2023</t>
  </si>
  <si>
    <t xml:space="preserve">x 2 - 3 - 3,73 = </t>
  </si>
  <si>
    <t>x 3,73=</t>
  </si>
  <si>
    <t>x 3,73 =</t>
  </si>
  <si>
    <t xml:space="preserve">**) Som udgangspunkt 1 kr. pr. km. pr. spiller. Ved 4+ spillere i bilen, afregnes efter statens højeste takst pr. km.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</si>
</sst>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0"/>
      <color rgb="FF000000"/>
      <name val="Verdana"/>
      <scheme val="minor"/>
    </font>
    <font>
      <sz val="10"/>
      <color theme="1"/>
      <name val="Verdana"/>
    </font>
    <font>
      <sz val="16"/>
      <color theme="1"/>
      <name val="Verdana"/>
    </font>
    <font>
      <sz val="8"/>
      <color theme="1"/>
      <name val="Verdana"/>
    </font>
    <font>
      <sz val="10"/>
      <name val="Verdana"/>
    </font>
    <font>
      <b/>
      <u/>
      <sz val="10"/>
      <color theme="1"/>
      <name val="Verdana"/>
    </font>
    <font>
      <b/>
      <sz val="10"/>
      <color theme="1"/>
      <name val="Verdana"/>
    </font>
    <font>
      <b/>
      <u/>
      <sz val="10"/>
      <color theme="1"/>
      <name val="Verdana"/>
    </font>
    <font>
      <b/>
      <u/>
      <sz val="8"/>
      <color theme="1"/>
      <name val="Verdana"/>
    </font>
    <font>
      <b/>
      <u/>
      <sz val="8"/>
      <color theme="1"/>
      <name val="Verdana"/>
    </font>
    <font>
      <b/>
      <sz val="8"/>
      <color theme="1"/>
      <name val="Verdana"/>
    </font>
    <font>
      <b/>
      <u/>
      <sz val="10"/>
      <color theme="1"/>
      <name val="Verdana"/>
    </font>
    <font>
      <b/>
      <u/>
      <sz val="10"/>
      <color theme="1"/>
      <name val="Verdana"/>
    </font>
    <font>
      <b/>
      <u/>
      <sz val="8"/>
      <color theme="1"/>
      <name val="Verdana"/>
    </font>
    <font>
      <b/>
      <u/>
      <sz val="8"/>
      <color theme="1"/>
      <name val="Verdana"/>
    </font>
    <font>
      <i/>
      <sz val="8"/>
      <color theme="1"/>
      <name val="Verdana"/>
    </font>
    <font>
      <sz val="9"/>
      <color theme="1"/>
      <name val="Verdana"/>
    </font>
    <font>
      <b/>
      <u/>
      <sz val="10"/>
      <color theme="1"/>
      <name val="Verdana"/>
    </font>
    <font>
      <i/>
      <sz val="9"/>
      <color theme="1"/>
      <name val="Verdana"/>
    </font>
    <font>
      <i/>
      <sz val="10"/>
      <color theme="1"/>
      <name val="Verdana"/>
    </font>
    <font>
      <b/>
      <u/>
      <sz val="10"/>
      <color theme="1"/>
      <name val="Verdana"/>
    </font>
    <font>
      <b/>
      <u/>
      <sz val="10"/>
      <color theme="1"/>
      <name val="Verdana"/>
    </font>
    <font>
      <b/>
      <u/>
      <sz val="8"/>
      <color theme="1"/>
      <name val="Verdana"/>
    </font>
    <font>
      <b/>
      <u/>
      <sz val="8"/>
      <color theme="1"/>
      <name val="Verdana"/>
    </font>
    <font>
      <b/>
      <u/>
      <sz val="9"/>
      <color theme="1"/>
      <name val="Verdana"/>
    </font>
    <font>
      <sz val="10"/>
      <color theme="1"/>
      <name val="Calibri"/>
    </font>
    <font>
      <sz val="8"/>
      <color rgb="FFC0C0C0"/>
      <name val="Verdana"/>
    </font>
    <font>
      <i/>
      <u/>
      <sz val="10"/>
      <color theme="1"/>
      <name val="Verdana"/>
    </font>
    <font>
      <b/>
      <i/>
      <u/>
      <sz val="8"/>
      <color theme="1"/>
      <name val="Verdana"/>
    </font>
    <font>
      <i/>
      <u/>
      <sz val="8"/>
      <color theme="1"/>
      <name val="Verdana"/>
    </font>
    <font>
      <b/>
      <sz val="14"/>
      <color theme="1"/>
      <name val="Verdana"/>
      <family val="2"/>
    </font>
    <font>
      <sz val="8"/>
      <color theme="1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E2EFD9"/>
        <bgColor rgb="FFE2EFD9"/>
      </patternFill>
    </fill>
    <fill>
      <patternFill patternType="solid">
        <fgColor rgb="FFF2F2F2"/>
        <bgColor rgb="FFF2F2F2"/>
      </patternFill>
    </fill>
  </fills>
  <borders count="3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1" fillId="2" borderId="5" xfId="0" applyFont="1" applyFill="1" applyBorder="1"/>
    <xf numFmtId="0" fontId="5" fillId="2" borderId="6" xfId="0" applyFont="1" applyFill="1" applyBorder="1" applyAlignment="1">
      <alignment horizontal="left"/>
    </xf>
    <xf numFmtId="0" fontId="6" fillId="2" borderId="6" xfId="0" applyFont="1" applyFill="1" applyBorder="1" applyAlignment="1">
      <alignment horizontal="left"/>
    </xf>
    <xf numFmtId="0" fontId="7" fillId="2" borderId="6" xfId="0" applyFont="1" applyFill="1" applyBorder="1" applyAlignment="1">
      <alignment horizontal="center"/>
    </xf>
    <xf numFmtId="0" fontId="1" fillId="2" borderId="6" xfId="0" applyFont="1" applyFill="1" applyBorder="1"/>
    <xf numFmtId="0" fontId="8" fillId="2" borderId="6" xfId="0" applyFont="1" applyFill="1" applyBorder="1" applyAlignment="1">
      <alignment horizontal="center"/>
    </xf>
    <xf numFmtId="0" fontId="9" fillId="2" borderId="7" xfId="0" applyFont="1" applyFill="1" applyBorder="1" applyAlignment="1">
      <alignment horizontal="center"/>
    </xf>
    <xf numFmtId="0" fontId="10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0" fontId="1" fillId="0" borderId="0" xfId="0" applyFont="1"/>
    <xf numFmtId="0" fontId="13" fillId="0" borderId="0" xfId="0" applyFont="1" applyAlignment="1">
      <alignment horizontal="center"/>
    </xf>
    <xf numFmtId="0" fontId="14" fillId="0" borderId="0" xfId="0" applyFont="1"/>
    <xf numFmtId="0" fontId="15" fillId="0" borderId="0" xfId="0" applyFont="1"/>
    <xf numFmtId="0" fontId="10" fillId="0" borderId="0" xfId="0" applyFont="1"/>
    <xf numFmtId="0" fontId="10" fillId="0" borderId="0" xfId="0" applyFont="1" applyAlignment="1">
      <alignment horizontal="center"/>
    </xf>
    <xf numFmtId="0" fontId="3" fillId="2" borderId="8" xfId="0" applyFont="1" applyFill="1" applyBorder="1"/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49" fontId="10" fillId="0" borderId="0" xfId="0" applyNumberFormat="1" applyFont="1"/>
    <xf numFmtId="0" fontId="3" fillId="2" borderId="12" xfId="0" applyFont="1" applyFill="1" applyBorder="1"/>
    <xf numFmtId="0" fontId="3" fillId="2" borderId="13" xfId="0" applyFont="1" applyFill="1" applyBorder="1"/>
    <xf numFmtId="0" fontId="3" fillId="2" borderId="15" xfId="0" applyFont="1" applyFill="1" applyBorder="1"/>
    <xf numFmtId="0" fontId="16" fillId="0" borderId="0" xfId="0" applyFont="1"/>
    <xf numFmtId="0" fontId="17" fillId="0" borderId="0" xfId="0" applyFont="1"/>
    <xf numFmtId="0" fontId="16" fillId="2" borderId="8" xfId="0" applyFont="1" applyFill="1" applyBorder="1"/>
    <xf numFmtId="0" fontId="1" fillId="2" borderId="9" xfId="0" applyFont="1" applyFill="1" applyBorder="1"/>
    <xf numFmtId="0" fontId="18" fillId="0" borderId="0" xfId="0" applyFont="1"/>
    <xf numFmtId="0" fontId="19" fillId="0" borderId="0" xfId="0" applyFont="1"/>
    <xf numFmtId="14" fontId="3" fillId="0" borderId="1" xfId="0" applyNumberFormat="1" applyFont="1" applyBorder="1"/>
    <xf numFmtId="0" fontId="16" fillId="0" borderId="0" xfId="0" applyFont="1" applyAlignment="1">
      <alignment horizontal="center"/>
    </xf>
    <xf numFmtId="0" fontId="1" fillId="2" borderId="18" xfId="0" applyFont="1" applyFill="1" applyBorder="1"/>
    <xf numFmtId="0" fontId="20" fillId="2" borderId="19" xfId="0" applyFont="1" applyFill="1" applyBorder="1" applyAlignment="1">
      <alignment horizontal="left"/>
    </xf>
    <xf numFmtId="0" fontId="6" fillId="2" borderId="19" xfId="0" applyFont="1" applyFill="1" applyBorder="1" applyAlignment="1">
      <alignment horizontal="left"/>
    </xf>
    <xf numFmtId="0" fontId="21" fillId="2" borderId="19" xfId="0" applyFont="1" applyFill="1" applyBorder="1" applyAlignment="1">
      <alignment horizontal="center"/>
    </xf>
    <xf numFmtId="0" fontId="1" fillId="2" borderId="19" xfId="0" applyFont="1" applyFill="1" applyBorder="1"/>
    <xf numFmtId="0" fontId="22" fillId="2" borderId="19" xfId="0" applyFont="1" applyFill="1" applyBorder="1" applyAlignment="1">
      <alignment horizontal="center"/>
    </xf>
    <xf numFmtId="0" fontId="23" fillId="2" borderId="20" xfId="0" applyFont="1" applyFill="1" applyBorder="1" applyAlignment="1">
      <alignment horizontal="center"/>
    </xf>
    <xf numFmtId="0" fontId="24" fillId="0" borderId="0" xfId="0" applyFont="1"/>
    <xf numFmtId="0" fontId="10" fillId="3" borderId="8" xfId="0" applyFont="1" applyFill="1" applyBorder="1" applyAlignment="1">
      <alignment horizontal="center"/>
    </xf>
    <xf numFmtId="0" fontId="10" fillId="3" borderId="21" xfId="0" applyFont="1" applyFill="1" applyBorder="1" applyAlignment="1">
      <alignment horizontal="center"/>
    </xf>
    <xf numFmtId="0" fontId="10" fillId="3" borderId="9" xfId="0" applyFont="1" applyFill="1" applyBorder="1" applyAlignment="1">
      <alignment horizontal="center"/>
    </xf>
    <xf numFmtId="0" fontId="25" fillId="0" borderId="0" xfId="0" applyFont="1"/>
    <xf numFmtId="0" fontId="1" fillId="3" borderId="22" xfId="0" applyFont="1" applyFill="1" applyBorder="1"/>
    <xf numFmtId="0" fontId="1" fillId="3" borderId="23" xfId="0" applyFont="1" applyFill="1" applyBorder="1" applyAlignment="1">
      <alignment horizontal="center"/>
    </xf>
    <xf numFmtId="0" fontId="1" fillId="3" borderId="22" xfId="0" applyFont="1" applyFill="1" applyBorder="1" applyAlignment="1">
      <alignment horizontal="center"/>
    </xf>
    <xf numFmtId="0" fontId="1" fillId="3" borderId="24" xfId="0" applyFont="1" applyFill="1" applyBorder="1" applyAlignment="1">
      <alignment horizontal="center"/>
    </xf>
    <xf numFmtId="0" fontId="3" fillId="3" borderId="25" xfId="0" applyFont="1" applyFill="1" applyBorder="1"/>
    <xf numFmtId="0" fontId="3" fillId="3" borderId="10" xfId="0" applyFont="1" applyFill="1" applyBorder="1" applyAlignment="1">
      <alignment horizontal="center"/>
    </xf>
    <xf numFmtId="0" fontId="3" fillId="3" borderId="25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1" fillId="3" borderId="26" xfId="0" applyFont="1" applyFill="1" applyBorder="1"/>
    <xf numFmtId="0" fontId="3" fillId="3" borderId="12" xfId="0" applyFont="1" applyFill="1" applyBorder="1" applyAlignment="1">
      <alignment horizontal="center"/>
    </xf>
    <xf numFmtId="0" fontId="3" fillId="3" borderId="26" xfId="0" applyFont="1" applyFill="1" applyBorder="1" applyAlignment="1">
      <alignment horizontal="center"/>
    </xf>
    <xf numFmtId="0" fontId="3" fillId="3" borderId="13" xfId="0" applyFont="1" applyFill="1" applyBorder="1" applyAlignment="1">
      <alignment horizontal="center"/>
    </xf>
    <xf numFmtId="0" fontId="3" fillId="3" borderId="26" xfId="0" applyFont="1" applyFill="1" applyBorder="1"/>
    <xf numFmtId="0" fontId="10" fillId="3" borderId="12" xfId="0" applyFont="1" applyFill="1" applyBorder="1" applyAlignment="1">
      <alignment horizontal="center"/>
    </xf>
    <xf numFmtId="0" fontId="10" fillId="3" borderId="26" xfId="0" applyFont="1" applyFill="1" applyBorder="1" applyAlignment="1">
      <alignment horizontal="center"/>
    </xf>
    <xf numFmtId="0" fontId="10" fillId="3" borderId="13" xfId="0" applyFont="1" applyFill="1" applyBorder="1" applyAlignment="1">
      <alignment horizontal="center"/>
    </xf>
    <xf numFmtId="0" fontId="3" fillId="3" borderId="14" xfId="0" applyFont="1" applyFill="1" applyBorder="1" applyAlignment="1">
      <alignment horizontal="center"/>
    </xf>
    <xf numFmtId="0" fontId="3" fillId="3" borderId="27" xfId="0" applyFont="1" applyFill="1" applyBorder="1" applyAlignment="1">
      <alignment horizontal="center"/>
    </xf>
    <xf numFmtId="0" fontId="3" fillId="3" borderId="15" xfId="0" applyFont="1" applyFill="1" applyBorder="1" applyAlignment="1">
      <alignment horizontal="center"/>
    </xf>
    <xf numFmtId="0" fontId="10" fillId="3" borderId="28" xfId="0" applyFont="1" applyFill="1" applyBorder="1"/>
    <xf numFmtId="0" fontId="3" fillId="0" borderId="0" xfId="0" applyFont="1" applyAlignment="1">
      <alignment horizontal="right"/>
    </xf>
    <xf numFmtId="0" fontId="26" fillId="3" borderId="22" xfId="0" applyFont="1" applyFill="1" applyBorder="1"/>
    <xf numFmtId="0" fontId="3" fillId="3" borderId="29" xfId="0" applyFont="1" applyFill="1" applyBorder="1"/>
    <xf numFmtId="0" fontId="3" fillId="3" borderId="30" xfId="0" applyFont="1" applyFill="1" applyBorder="1"/>
    <xf numFmtId="0" fontId="11" fillId="0" borderId="0" xfId="0" applyFont="1" applyAlignment="1">
      <alignment horizontal="left"/>
    </xf>
    <xf numFmtId="0" fontId="0" fillId="0" borderId="0" xfId="0"/>
    <xf numFmtId="0" fontId="3" fillId="0" borderId="1" xfId="0" applyFont="1" applyBorder="1" applyAlignment="1">
      <alignment horizontal="left"/>
    </xf>
    <xf numFmtId="0" fontId="4" fillId="0" borderId="1" xfId="0" applyFont="1" applyBorder="1"/>
    <xf numFmtId="0" fontId="3" fillId="2" borderId="16" xfId="0" applyFont="1" applyFill="1" applyBorder="1"/>
    <xf numFmtId="0" fontId="4" fillId="0" borderId="17" xfId="0" applyFont="1" applyBorder="1"/>
    <xf numFmtId="0" fontId="3" fillId="0" borderId="1" xfId="0" applyFont="1" applyBorder="1" applyAlignment="1">
      <alignment horizontal="center"/>
    </xf>
    <xf numFmtId="0" fontId="3" fillId="0" borderId="4" xfId="0" applyFont="1" applyBorder="1"/>
    <xf numFmtId="0" fontId="4" fillId="0" borderId="3" xfId="0" applyFont="1" applyBorder="1"/>
    <xf numFmtId="0" fontId="30" fillId="0" borderId="0" xfId="0" applyFont="1" applyAlignment="1">
      <alignment horizontal="left"/>
    </xf>
    <xf numFmtId="0" fontId="31" fillId="2" borderId="14" xfId="0" applyFont="1" applyFill="1" applyBorder="1"/>
    <xf numFmtId="0" fontId="31" fillId="2" borderId="10" xfId="0" applyFont="1" applyFill="1" applyBorder="1"/>
    <xf numFmtId="0" fontId="3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Verdana"/>
        <a:ea typeface="Verdana"/>
        <a:cs typeface="Verdana"/>
      </a:majorFont>
      <a:minorFont>
        <a:latin typeface="Verdana"/>
        <a:ea typeface="Verdana"/>
        <a:cs typeface="Verdan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tabSelected="1" workbookViewId="0">
      <selection activeCell="A68" sqref="A68"/>
    </sheetView>
  </sheetViews>
  <sheetFormatPr baseColWidth="10" defaultColWidth="11.1640625" defaultRowHeight="15" customHeight="1" x14ac:dyDescent="0.15"/>
  <cols>
    <col min="1" max="1" width="10.6640625" customWidth="1"/>
    <col min="2" max="2" width="7.1640625" customWidth="1"/>
    <col min="3" max="3" width="11.1640625" customWidth="1"/>
    <col min="4" max="5" width="8.83203125" customWidth="1"/>
    <col min="6" max="6" width="9.1640625" customWidth="1"/>
    <col min="7" max="7" width="10.1640625" customWidth="1"/>
    <col min="8" max="8" width="6.6640625" customWidth="1"/>
    <col min="9" max="9" width="7.83203125" customWidth="1"/>
    <col min="10" max="11" width="6.6640625" customWidth="1"/>
    <col min="12" max="12" width="1.1640625" customWidth="1"/>
    <col min="13" max="26" width="8.83203125" customWidth="1"/>
  </cols>
  <sheetData>
    <row r="1" spans="1:26" ht="9.75" customHeight="1" x14ac:dyDescent="0.15">
      <c r="E1" s="1"/>
    </row>
    <row r="2" spans="1:26" ht="17.25" customHeight="1" x14ac:dyDescent="0.2">
      <c r="A2" s="86" t="s">
        <v>62</v>
      </c>
      <c r="B2" s="78"/>
      <c r="C2" s="78"/>
      <c r="D2" s="78"/>
      <c r="E2" s="78"/>
      <c r="F2" s="78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0.5" customHeight="1" x14ac:dyDescent="0.15">
      <c r="E3" s="1"/>
    </row>
    <row r="4" spans="1:26" ht="11.25" customHeight="1" x14ac:dyDescent="0.15">
      <c r="A4" s="3" t="s">
        <v>0</v>
      </c>
      <c r="B4" s="79"/>
      <c r="C4" s="80"/>
      <c r="D4" s="80"/>
      <c r="E4" s="4"/>
      <c r="F4" s="5" t="s">
        <v>1</v>
      </c>
      <c r="G4" s="83" t="s">
        <v>2</v>
      </c>
      <c r="H4" s="80"/>
      <c r="I4" s="3" t="s">
        <v>3</v>
      </c>
      <c r="J4" s="83" t="s">
        <v>4</v>
      </c>
      <c r="K4" s="80"/>
    </row>
    <row r="5" spans="1:26" ht="10.5" customHeight="1" x14ac:dyDescent="0.15">
      <c r="A5" s="3"/>
      <c r="B5" s="3"/>
      <c r="C5" s="3"/>
      <c r="D5" s="3"/>
      <c r="E5" s="4"/>
      <c r="F5" s="3"/>
      <c r="G5" s="3"/>
      <c r="H5" s="3"/>
      <c r="I5" s="7" t="s">
        <v>5</v>
      </c>
      <c r="J5" s="7"/>
      <c r="K5" s="8"/>
    </row>
    <row r="6" spans="1:26" ht="10.5" customHeight="1" x14ac:dyDescent="0.15">
      <c r="A6" s="3" t="s">
        <v>6</v>
      </c>
      <c r="B6" s="3"/>
      <c r="C6" s="79"/>
      <c r="D6" s="80"/>
      <c r="E6" s="80"/>
      <c r="F6" s="80"/>
      <c r="G6" s="80"/>
      <c r="H6" s="5"/>
      <c r="I6" s="7" t="s">
        <v>7</v>
      </c>
      <c r="J6" s="7"/>
      <c r="K6" s="8"/>
    </row>
    <row r="7" spans="1:26" ht="10.5" customHeight="1" x14ac:dyDescent="0.15">
      <c r="A7" s="3"/>
      <c r="B7" s="3"/>
      <c r="C7" s="3"/>
      <c r="D7" s="3"/>
      <c r="E7" s="4"/>
      <c r="F7" s="3"/>
      <c r="G7" s="3"/>
      <c r="H7" s="3"/>
      <c r="I7" s="84" t="s">
        <v>8</v>
      </c>
      <c r="J7" s="85"/>
      <c r="K7" s="8"/>
    </row>
    <row r="8" spans="1:26" ht="10.5" customHeight="1" x14ac:dyDescent="0.15">
      <c r="A8" s="3" t="s">
        <v>9</v>
      </c>
      <c r="B8" s="79"/>
      <c r="C8" s="80"/>
      <c r="D8" s="80"/>
      <c r="E8" s="80"/>
      <c r="F8" s="80"/>
      <c r="G8" s="5"/>
      <c r="H8" s="5"/>
      <c r="I8" s="7" t="s">
        <v>10</v>
      </c>
      <c r="J8" s="7"/>
      <c r="K8" s="8"/>
    </row>
    <row r="9" spans="1:26" ht="9" customHeight="1" x14ac:dyDescent="0.15">
      <c r="E9" s="1"/>
    </row>
    <row r="10" spans="1:26" ht="13.5" customHeight="1" x14ac:dyDescent="0.15">
      <c r="A10" s="9"/>
      <c r="B10" s="10"/>
      <c r="C10" s="11" t="s">
        <v>11</v>
      </c>
      <c r="D10" s="10"/>
      <c r="E10" s="12"/>
      <c r="F10" s="10"/>
      <c r="G10" s="10"/>
      <c r="H10" s="10"/>
      <c r="I10" s="13"/>
      <c r="J10" s="14"/>
      <c r="K10" s="15"/>
    </row>
    <row r="11" spans="1:26" ht="6" customHeight="1" x14ac:dyDescent="0.15">
      <c r="A11" s="16"/>
      <c r="B11" s="17"/>
      <c r="C11" s="17"/>
      <c r="D11" s="17"/>
      <c r="E11" s="18"/>
      <c r="F11" s="17"/>
      <c r="G11" s="17"/>
      <c r="H11" s="17"/>
      <c r="I11" s="19"/>
      <c r="J11" s="20"/>
      <c r="K11" s="20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</row>
    <row r="12" spans="1:26" ht="16.5" customHeight="1" x14ac:dyDescent="0.15">
      <c r="A12" s="77" t="s">
        <v>12</v>
      </c>
      <c r="B12" s="78"/>
      <c r="C12" s="78"/>
      <c r="D12" s="78"/>
      <c r="E12" s="78"/>
      <c r="F12" s="78"/>
      <c r="G12" s="78"/>
      <c r="H12" s="78"/>
      <c r="J12" s="20"/>
      <c r="K12" s="20"/>
    </row>
    <row r="13" spans="1:26" ht="10.5" customHeight="1" x14ac:dyDescent="0.15">
      <c r="A13" s="16"/>
      <c r="B13" s="17"/>
      <c r="C13" s="17"/>
      <c r="D13" s="17"/>
      <c r="E13" s="18"/>
      <c r="F13" s="17"/>
      <c r="G13" s="17"/>
      <c r="H13" s="17"/>
      <c r="I13" s="19"/>
      <c r="J13" s="20"/>
      <c r="K13" s="20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</row>
    <row r="14" spans="1:26" ht="9.75" customHeight="1" x14ac:dyDescent="0.15">
      <c r="A14" s="21" t="s">
        <v>13</v>
      </c>
      <c r="B14" s="22"/>
      <c r="C14" s="22"/>
      <c r="D14" s="22"/>
      <c r="E14" s="4"/>
      <c r="F14" s="23" t="s">
        <v>14</v>
      </c>
      <c r="G14" s="24" t="s">
        <v>15</v>
      </c>
      <c r="H14" s="3"/>
      <c r="I14" s="3"/>
      <c r="J14" s="3"/>
      <c r="K14" s="3"/>
    </row>
    <row r="15" spans="1:26" ht="10.5" customHeight="1" x14ac:dyDescent="0.15">
      <c r="A15" s="3"/>
      <c r="B15" s="3"/>
      <c r="C15" s="3"/>
      <c r="D15" s="3"/>
      <c r="E15" s="4"/>
      <c r="F15" s="25"/>
      <c r="G15" s="26"/>
      <c r="H15" s="3"/>
      <c r="I15" s="3"/>
      <c r="J15" s="3"/>
      <c r="K15" s="3"/>
    </row>
    <row r="16" spans="1:26" ht="10.5" customHeight="1" x14ac:dyDescent="0.15">
      <c r="A16" s="3" t="s">
        <v>16</v>
      </c>
      <c r="B16" s="3"/>
      <c r="C16" s="3"/>
      <c r="D16" s="5"/>
      <c r="E16" s="4" t="s">
        <v>17</v>
      </c>
      <c r="F16" s="27" t="s">
        <v>18</v>
      </c>
      <c r="G16" s="28"/>
      <c r="H16" s="29" t="s">
        <v>19</v>
      </c>
      <c r="I16" s="3"/>
      <c r="J16" s="3"/>
      <c r="K16" s="3"/>
    </row>
    <row r="17" spans="1:26" ht="10.5" customHeight="1" x14ac:dyDescent="0.15">
      <c r="A17" s="3"/>
      <c r="B17" s="3"/>
      <c r="C17" s="3"/>
      <c r="D17" s="3"/>
      <c r="E17" s="4"/>
      <c r="F17" s="30"/>
      <c r="G17" s="31"/>
      <c r="H17" s="3"/>
      <c r="I17" s="3"/>
      <c r="J17" s="3"/>
      <c r="K17" s="3"/>
    </row>
    <row r="18" spans="1:26" ht="10.5" customHeight="1" x14ac:dyDescent="0.15">
      <c r="A18" s="3" t="s">
        <v>20</v>
      </c>
      <c r="B18" s="3"/>
      <c r="C18" s="3"/>
      <c r="D18" s="5"/>
      <c r="E18" s="4" t="s">
        <v>17</v>
      </c>
      <c r="F18" s="87" t="s">
        <v>63</v>
      </c>
      <c r="G18" s="32"/>
      <c r="H18" s="22" t="s">
        <v>21</v>
      </c>
      <c r="I18" s="22"/>
      <c r="J18" s="22"/>
      <c r="K18" s="3"/>
    </row>
    <row r="19" spans="1:26" ht="11.25" customHeight="1" x14ac:dyDescent="0.15">
      <c r="A19" s="3"/>
      <c r="B19" s="3"/>
      <c r="C19" s="3"/>
      <c r="D19" s="3"/>
      <c r="E19" s="4"/>
      <c r="F19" s="3"/>
      <c r="G19" s="19"/>
      <c r="H19" s="22" t="s">
        <v>22</v>
      </c>
      <c r="I19" s="22"/>
      <c r="J19" s="22"/>
      <c r="K19" s="3"/>
    </row>
    <row r="20" spans="1:26" ht="10.5" customHeight="1" x14ac:dyDescent="0.15">
      <c r="A20" s="3" t="s">
        <v>23</v>
      </c>
      <c r="B20" s="3"/>
      <c r="C20" s="3"/>
      <c r="D20" s="79"/>
      <c r="E20" s="80"/>
      <c r="F20" s="80"/>
      <c r="G20" s="80"/>
      <c r="H20" s="5"/>
      <c r="I20" s="5"/>
      <c r="J20" s="5"/>
      <c r="K20" s="5"/>
    </row>
    <row r="21" spans="1:26" ht="10.5" customHeight="1" x14ac:dyDescent="0.15">
      <c r="A21" s="3"/>
      <c r="B21" s="3"/>
      <c r="C21" s="3"/>
      <c r="D21" s="3"/>
      <c r="E21" s="4"/>
      <c r="F21" s="3"/>
      <c r="G21" s="3"/>
      <c r="H21" s="3"/>
      <c r="I21" s="3"/>
      <c r="J21" s="3"/>
      <c r="K21" s="3"/>
    </row>
    <row r="22" spans="1:26" ht="10.5" customHeight="1" x14ac:dyDescent="0.15">
      <c r="A22" s="3" t="s">
        <v>24</v>
      </c>
      <c r="B22" s="3"/>
      <c r="C22" s="3"/>
      <c r="D22" s="5"/>
      <c r="E22" s="6"/>
      <c r="F22" s="5"/>
      <c r="G22" s="5"/>
      <c r="H22" s="5"/>
      <c r="I22" s="5"/>
      <c r="J22" s="5"/>
      <c r="K22" s="5"/>
    </row>
    <row r="23" spans="1:26" ht="10.5" customHeight="1" x14ac:dyDescent="0.15">
      <c r="A23" s="3"/>
      <c r="B23" s="3"/>
      <c r="C23" s="3"/>
      <c r="D23" s="3"/>
      <c r="E23" s="4"/>
      <c r="F23" s="3"/>
      <c r="G23" s="3"/>
      <c r="H23" s="3"/>
      <c r="I23" s="3"/>
      <c r="J23" s="3"/>
      <c r="K23" s="3"/>
    </row>
    <row r="24" spans="1:26" ht="10.5" customHeight="1" x14ac:dyDescent="0.15">
      <c r="A24" s="3"/>
      <c r="B24" s="3"/>
      <c r="C24" s="3"/>
      <c r="D24" s="3"/>
      <c r="E24" s="4"/>
      <c r="F24" s="3"/>
      <c r="G24" s="3"/>
      <c r="H24" s="3"/>
      <c r="I24" s="3"/>
      <c r="J24" s="3"/>
      <c r="K24" s="3"/>
    </row>
    <row r="25" spans="1:26" ht="9.75" customHeight="1" x14ac:dyDescent="0.15">
      <c r="A25" s="21" t="s">
        <v>25</v>
      </c>
      <c r="B25" s="3"/>
      <c r="C25" s="3"/>
      <c r="D25" s="3"/>
      <c r="E25" s="4"/>
      <c r="F25" s="23" t="s">
        <v>14</v>
      </c>
      <c r="G25" s="24" t="s">
        <v>26</v>
      </c>
      <c r="H25" s="3"/>
      <c r="I25" s="3"/>
      <c r="J25" s="3"/>
      <c r="K25" s="3"/>
    </row>
    <row r="26" spans="1:26" ht="10.5" customHeight="1" x14ac:dyDescent="0.15">
      <c r="A26" s="3"/>
      <c r="B26" s="3"/>
      <c r="C26" s="3"/>
      <c r="D26" s="3"/>
      <c r="E26" s="4"/>
      <c r="F26" s="25"/>
      <c r="G26" s="26"/>
      <c r="H26" s="3"/>
      <c r="I26" s="3"/>
      <c r="J26" s="3"/>
      <c r="K26" s="3"/>
    </row>
    <row r="27" spans="1:26" ht="10.5" customHeight="1" x14ac:dyDescent="0.15">
      <c r="A27" s="3" t="s">
        <v>27</v>
      </c>
      <c r="B27" s="3"/>
      <c r="C27" s="3"/>
      <c r="D27" s="5"/>
      <c r="E27" s="4" t="s">
        <v>17</v>
      </c>
      <c r="F27" s="88" t="s">
        <v>64</v>
      </c>
      <c r="G27" s="28"/>
      <c r="H27" s="29" t="s">
        <v>19</v>
      </c>
      <c r="I27" s="3"/>
      <c r="J27" s="3"/>
      <c r="K27" s="3"/>
    </row>
    <row r="28" spans="1:26" ht="10.5" customHeight="1" x14ac:dyDescent="0.15">
      <c r="A28" s="3"/>
      <c r="B28" s="3"/>
      <c r="C28" s="3"/>
      <c r="D28" s="3"/>
      <c r="E28" s="4"/>
      <c r="F28" s="30"/>
      <c r="G28" s="31"/>
      <c r="H28" s="3"/>
      <c r="I28" s="3"/>
      <c r="J28" s="3"/>
      <c r="K28" s="3"/>
    </row>
    <row r="29" spans="1:26" ht="10.5" customHeight="1" x14ac:dyDescent="0.15">
      <c r="A29" s="3" t="s">
        <v>28</v>
      </c>
      <c r="B29" s="3"/>
      <c r="C29" s="3"/>
      <c r="D29" s="5"/>
      <c r="E29" s="4" t="s">
        <v>17</v>
      </c>
      <c r="F29" s="87" t="s">
        <v>65</v>
      </c>
      <c r="G29" s="32"/>
      <c r="H29" s="3"/>
      <c r="I29" s="3"/>
      <c r="J29" s="3"/>
      <c r="K29" s="3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</row>
    <row r="30" spans="1:26" ht="10.5" customHeight="1" x14ac:dyDescent="0.15">
      <c r="A30" s="3"/>
      <c r="B30" s="3"/>
      <c r="C30" s="3"/>
      <c r="D30" s="3"/>
      <c r="E30" s="4"/>
      <c r="F30" s="3"/>
      <c r="G30" s="3"/>
      <c r="H30" s="3"/>
      <c r="I30" s="3"/>
      <c r="J30" s="3"/>
      <c r="K30" s="3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</row>
    <row r="31" spans="1:26" ht="10.5" customHeight="1" x14ac:dyDescent="0.15">
      <c r="A31" s="3" t="s">
        <v>29</v>
      </c>
      <c r="B31" s="3"/>
      <c r="C31" s="3"/>
      <c r="D31" s="79"/>
      <c r="E31" s="80"/>
      <c r="F31" s="80"/>
      <c r="G31" s="80"/>
      <c r="H31" s="80"/>
      <c r="I31" s="5"/>
      <c r="J31" s="5"/>
      <c r="K31" s="5"/>
    </row>
    <row r="32" spans="1:26" ht="10.5" customHeight="1" x14ac:dyDescent="0.15">
      <c r="A32" s="3"/>
      <c r="B32" s="3"/>
      <c r="C32" s="3"/>
      <c r="D32" s="3"/>
      <c r="E32" s="4"/>
      <c r="F32" s="3"/>
      <c r="G32" s="3"/>
      <c r="H32" s="3"/>
      <c r="I32" s="3"/>
      <c r="J32" s="3"/>
      <c r="K32" s="3"/>
    </row>
    <row r="33" spans="1:26" ht="10.5" customHeight="1" x14ac:dyDescent="0.15">
      <c r="A33" s="3" t="s">
        <v>30</v>
      </c>
      <c r="B33" s="3"/>
      <c r="C33" s="3"/>
      <c r="D33" s="5"/>
      <c r="E33" s="6"/>
      <c r="F33" s="5"/>
      <c r="G33" s="5"/>
      <c r="H33" s="5"/>
      <c r="I33" s="5"/>
      <c r="J33" s="5"/>
      <c r="K33" s="5"/>
    </row>
    <row r="34" spans="1:26" ht="10.5" customHeight="1" x14ac:dyDescent="0.15">
      <c r="A34" s="3"/>
      <c r="B34" s="3"/>
      <c r="C34" s="3"/>
      <c r="D34" s="3"/>
      <c r="E34" s="4"/>
      <c r="F34" s="3"/>
      <c r="G34" s="3"/>
      <c r="H34" s="3"/>
      <c r="I34" s="3"/>
      <c r="J34" s="3"/>
      <c r="K34" s="3"/>
    </row>
    <row r="35" spans="1:26" ht="10.5" customHeight="1" x14ac:dyDescent="0.15">
      <c r="A35" s="3"/>
      <c r="B35" s="3"/>
      <c r="C35" s="3"/>
      <c r="D35" s="3"/>
      <c r="E35" s="4"/>
      <c r="F35" s="3"/>
      <c r="G35" s="81"/>
      <c r="H35" s="3"/>
      <c r="I35" s="3"/>
      <c r="J35" s="3"/>
      <c r="K35" s="3"/>
    </row>
    <row r="36" spans="1:26" ht="12.75" customHeight="1" x14ac:dyDescent="0.15">
      <c r="A36" s="21" t="s">
        <v>31</v>
      </c>
      <c r="B36" s="3"/>
      <c r="C36" s="3"/>
      <c r="D36" s="3"/>
      <c r="E36" s="4"/>
      <c r="F36" s="3"/>
      <c r="G36" s="82"/>
      <c r="H36" s="3"/>
      <c r="I36" s="3"/>
      <c r="J36" s="3"/>
      <c r="K36" s="3"/>
    </row>
    <row r="37" spans="1:26" ht="9" customHeight="1" x14ac:dyDescent="0.15">
      <c r="A37" s="21"/>
      <c r="B37" s="3"/>
      <c r="C37" s="3"/>
      <c r="D37" s="3"/>
      <c r="E37" s="4"/>
      <c r="F37" s="3"/>
      <c r="G37" s="3"/>
      <c r="H37" s="3"/>
      <c r="I37" s="3"/>
      <c r="J37" s="3"/>
      <c r="K37" s="3"/>
    </row>
    <row r="38" spans="1:26" ht="8.25" customHeight="1" x14ac:dyDescent="0.15">
      <c r="A38" s="33"/>
      <c r="B38" s="19"/>
      <c r="C38" s="19"/>
      <c r="D38" s="19"/>
      <c r="E38" s="1"/>
      <c r="F38" s="33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</row>
    <row r="39" spans="1:26" ht="15.75" customHeight="1" x14ac:dyDescent="0.15">
      <c r="A39" s="34" t="s">
        <v>32</v>
      </c>
      <c r="B39" s="19"/>
      <c r="C39" s="19"/>
      <c r="D39" s="19"/>
      <c r="E39" s="1"/>
      <c r="F39" s="23" t="s">
        <v>14</v>
      </c>
      <c r="G39" s="24" t="s">
        <v>15</v>
      </c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</row>
    <row r="40" spans="1:26" ht="10.5" customHeight="1" x14ac:dyDescent="0.15">
      <c r="A40" s="33"/>
      <c r="B40" s="19"/>
      <c r="C40" s="19"/>
      <c r="D40" s="19"/>
      <c r="E40" s="1"/>
      <c r="F40" s="35"/>
      <c r="G40" s="36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</row>
    <row r="41" spans="1:26" ht="10.5" customHeight="1" x14ac:dyDescent="0.15">
      <c r="A41" s="3" t="s">
        <v>33</v>
      </c>
      <c r="B41" s="3"/>
      <c r="C41" s="3"/>
      <c r="D41" s="5"/>
      <c r="E41" s="4" t="s">
        <v>17</v>
      </c>
      <c r="F41" s="87" t="s">
        <v>65</v>
      </c>
      <c r="G41" s="32"/>
      <c r="H41" s="3" t="s">
        <v>34</v>
      </c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0.5" customHeight="1" x14ac:dyDescent="0.15">
      <c r="A42" s="3"/>
      <c r="B42" s="3"/>
      <c r="C42" s="3"/>
      <c r="D42" s="3"/>
      <c r="E42" s="4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0.5" customHeight="1" x14ac:dyDescent="0.15">
      <c r="A43" s="3" t="s">
        <v>29</v>
      </c>
      <c r="B43" s="3"/>
      <c r="C43" s="3"/>
      <c r="D43" s="3"/>
      <c r="E43" s="6"/>
      <c r="F43" s="5"/>
      <c r="G43" s="5"/>
      <c r="H43" s="5"/>
      <c r="I43" s="5"/>
      <c r="J43" s="5"/>
      <c r="K43" s="5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0.5" customHeight="1" x14ac:dyDescent="0.15">
      <c r="A44" s="3"/>
      <c r="B44" s="3"/>
      <c r="C44" s="3"/>
      <c r="D44" s="3"/>
      <c r="E44" s="4"/>
      <c r="F44" s="3"/>
      <c r="G44" s="3"/>
      <c r="H44" s="3"/>
      <c r="I44" s="3"/>
      <c r="J44" s="3"/>
      <c r="K44" s="3"/>
    </row>
    <row r="45" spans="1:26" ht="10.5" customHeight="1" x14ac:dyDescent="0.15">
      <c r="A45" s="3" t="s">
        <v>35</v>
      </c>
      <c r="B45" s="3"/>
      <c r="C45" s="3"/>
      <c r="D45" s="3"/>
      <c r="E45" s="6"/>
      <c r="F45" s="5"/>
      <c r="G45" s="5"/>
      <c r="H45" s="5"/>
      <c r="I45" s="5"/>
      <c r="J45" s="5"/>
      <c r="K45" s="5"/>
    </row>
    <row r="46" spans="1:26" ht="9.75" customHeight="1" x14ac:dyDescent="0.15">
      <c r="A46" s="19"/>
      <c r="E46" s="1"/>
    </row>
    <row r="47" spans="1:26" ht="7.5" customHeight="1" x14ac:dyDescent="0.15">
      <c r="A47" s="19"/>
      <c r="E47" s="1"/>
    </row>
    <row r="48" spans="1:26" ht="16.5" customHeight="1" x14ac:dyDescent="0.15">
      <c r="A48" s="34" t="s">
        <v>36</v>
      </c>
      <c r="B48" s="3"/>
      <c r="C48" s="3"/>
      <c r="E48" s="24" t="s">
        <v>37</v>
      </c>
      <c r="G48" s="24" t="s">
        <v>15</v>
      </c>
      <c r="H48" s="37"/>
      <c r="I48" s="37"/>
      <c r="J48" s="37"/>
      <c r="K48" s="37"/>
    </row>
    <row r="49" spans="1:26" ht="10.5" customHeight="1" x14ac:dyDescent="0.15">
      <c r="A49" s="3"/>
      <c r="B49" s="3"/>
      <c r="C49" s="3"/>
      <c r="E49" s="4"/>
      <c r="G49" s="3"/>
      <c r="H49" s="37"/>
      <c r="I49" s="37"/>
      <c r="J49" s="37"/>
      <c r="K49" s="37"/>
    </row>
    <row r="50" spans="1:26" ht="10.5" customHeight="1" x14ac:dyDescent="0.15">
      <c r="A50" s="3" t="s">
        <v>38</v>
      </c>
      <c r="B50" s="3"/>
      <c r="C50" s="3" t="s">
        <v>39</v>
      </c>
      <c r="E50" s="6"/>
      <c r="G50" s="5"/>
      <c r="H50" s="37"/>
      <c r="I50" s="37"/>
      <c r="J50" s="37"/>
      <c r="K50" s="37"/>
    </row>
    <row r="51" spans="1:26" ht="10.5" customHeight="1" x14ac:dyDescent="0.15">
      <c r="A51" s="3"/>
      <c r="B51" s="3"/>
      <c r="C51" s="3"/>
      <c r="E51" s="4"/>
      <c r="G51" s="3"/>
      <c r="H51" s="38"/>
    </row>
    <row r="52" spans="1:26" ht="10.5" customHeight="1" x14ac:dyDescent="0.15">
      <c r="A52" s="3" t="s">
        <v>40</v>
      </c>
      <c r="B52" s="3"/>
      <c r="C52" s="3"/>
      <c r="D52" s="19"/>
      <c r="E52" s="6"/>
      <c r="G52" s="5"/>
      <c r="H52" s="38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</row>
    <row r="53" spans="1:26" ht="10.5" customHeight="1" x14ac:dyDescent="0.15">
      <c r="A53" s="3"/>
      <c r="B53" s="3"/>
      <c r="C53" s="3"/>
      <c r="D53" s="19"/>
      <c r="E53" s="4"/>
      <c r="F53" s="3"/>
      <c r="G53" s="3"/>
      <c r="H53" s="38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</row>
    <row r="54" spans="1:26" ht="11.25" customHeight="1" x14ac:dyDescent="0.15">
      <c r="A54" s="3" t="s">
        <v>41</v>
      </c>
      <c r="B54" s="3"/>
      <c r="C54" s="3"/>
      <c r="D54" s="5"/>
      <c r="E54" s="6"/>
      <c r="F54" s="5"/>
      <c r="G54" s="5"/>
      <c r="H54" s="5"/>
      <c r="I54" s="5"/>
      <c r="J54" s="5"/>
      <c r="K54" s="5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1.25" customHeight="1" x14ac:dyDescent="0.15">
      <c r="A55" s="3"/>
      <c r="B55" s="3"/>
      <c r="C55" s="3"/>
      <c r="D55" s="3"/>
      <c r="E55" s="4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1.25" customHeight="1" x14ac:dyDescent="0.15">
      <c r="A56" s="3"/>
      <c r="B56" s="3"/>
      <c r="C56" s="3"/>
      <c r="D56" s="3"/>
      <c r="E56" s="4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1.25" customHeight="1" x14ac:dyDescent="0.15">
      <c r="A57" s="34" t="s">
        <v>42</v>
      </c>
      <c r="B57" s="3"/>
      <c r="C57" s="3"/>
      <c r="D57" s="39"/>
      <c r="E57" s="4"/>
      <c r="F57" s="5"/>
      <c r="G57" s="5"/>
      <c r="H57" s="5"/>
      <c r="I57" s="5"/>
      <c r="J57" s="5"/>
      <c r="K57" s="5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1.25" customHeight="1" x14ac:dyDescent="0.15">
      <c r="A58" s="3"/>
      <c r="B58" s="3"/>
      <c r="C58" s="3"/>
      <c r="D58" s="3"/>
      <c r="E58" s="4"/>
      <c r="F58" s="3"/>
      <c r="G58" s="3"/>
      <c r="H58" s="3"/>
      <c r="I58" s="3"/>
      <c r="J58" s="3"/>
      <c r="K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customHeight="1" x14ac:dyDescent="0.15">
      <c r="A59" s="19" t="s">
        <v>43</v>
      </c>
      <c r="B59" s="19"/>
      <c r="C59" s="19"/>
      <c r="D59" s="19"/>
      <c r="E59" s="1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</row>
    <row r="60" spans="1:26" ht="13.5" customHeight="1" x14ac:dyDescent="0.15">
      <c r="A60" s="19" t="s">
        <v>44</v>
      </c>
      <c r="B60" s="19"/>
      <c r="C60" s="19"/>
      <c r="D60" s="19"/>
      <c r="E60" s="1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</row>
    <row r="61" spans="1:26" ht="10.5" customHeight="1" x14ac:dyDescent="0.15">
      <c r="A61" s="3"/>
      <c r="B61" s="33"/>
      <c r="C61" s="33"/>
      <c r="D61" s="33"/>
      <c r="E61" s="40"/>
      <c r="F61" s="33"/>
      <c r="G61" s="3"/>
      <c r="H61" s="3"/>
      <c r="J61" s="33"/>
    </row>
    <row r="62" spans="1:26" ht="10.5" customHeight="1" x14ac:dyDescent="0.15">
      <c r="A62" s="3" t="s">
        <v>45</v>
      </c>
      <c r="B62" s="33"/>
      <c r="C62" s="33"/>
      <c r="D62" s="33"/>
      <c r="E62" s="40"/>
      <c r="F62" s="33"/>
      <c r="G62" s="3"/>
      <c r="H62" s="3"/>
      <c r="J62" s="33"/>
    </row>
    <row r="63" spans="1:26" ht="10.5" customHeight="1" x14ac:dyDescent="0.15">
      <c r="A63" s="3" t="s">
        <v>46</v>
      </c>
      <c r="B63" s="3"/>
      <c r="C63" s="3"/>
      <c r="D63" s="3"/>
      <c r="E63" s="4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0.5" customHeight="1" x14ac:dyDescent="0.15">
      <c r="A64" s="3" t="s">
        <v>47</v>
      </c>
      <c r="B64" s="3"/>
      <c r="C64" s="3"/>
      <c r="D64" s="3"/>
      <c r="E64" s="4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7.5" customHeight="1" x14ac:dyDescent="0.15">
      <c r="A65" s="3"/>
      <c r="B65" s="3"/>
      <c r="C65" s="3"/>
      <c r="D65" s="3"/>
      <c r="E65" s="4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0.5" customHeight="1" x14ac:dyDescent="0.15">
      <c r="A66" s="89" t="s">
        <v>66</v>
      </c>
      <c r="E66" s="1"/>
      <c r="L66" s="19"/>
    </row>
    <row r="67" spans="1:26" ht="7.5" customHeight="1" x14ac:dyDescent="0.15">
      <c r="E67" s="1"/>
      <c r="K67" s="33"/>
      <c r="L67" s="19"/>
    </row>
    <row r="68" spans="1:26" ht="10.5" customHeight="1" x14ac:dyDescent="0.15">
      <c r="A68" s="3" t="s">
        <v>48</v>
      </c>
      <c r="E68" s="1"/>
      <c r="K68" s="33"/>
    </row>
    <row r="69" spans="1:26" ht="10.5" customHeight="1" x14ac:dyDescent="0.15">
      <c r="A69" s="3" t="s">
        <v>49</v>
      </c>
      <c r="E69" s="1"/>
    </row>
    <row r="70" spans="1:26" ht="10.5" customHeight="1" x14ac:dyDescent="0.15">
      <c r="A70" s="33"/>
      <c r="B70" s="33"/>
      <c r="C70" s="33"/>
      <c r="D70" s="33"/>
      <c r="E70" s="40"/>
      <c r="F70" s="33"/>
      <c r="G70" s="3"/>
      <c r="H70" s="3"/>
      <c r="J70" s="3"/>
    </row>
    <row r="71" spans="1:26" ht="13.5" customHeight="1" x14ac:dyDescent="0.15">
      <c r="A71" s="41"/>
      <c r="B71" s="42"/>
      <c r="C71" s="43" t="s">
        <v>50</v>
      </c>
      <c r="D71" s="42"/>
      <c r="E71" s="44"/>
      <c r="F71" s="42"/>
      <c r="G71" s="42"/>
      <c r="H71" s="42"/>
      <c r="I71" s="45"/>
      <c r="J71" s="46"/>
      <c r="K71" s="47"/>
    </row>
    <row r="72" spans="1:26" ht="10.5" customHeight="1" x14ac:dyDescent="0.15">
      <c r="A72" s="3"/>
      <c r="B72" s="3"/>
      <c r="C72" s="3"/>
      <c r="D72" s="19"/>
      <c r="E72" s="4"/>
      <c r="F72" s="3"/>
      <c r="G72" s="3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</row>
    <row r="73" spans="1:26" ht="9.75" customHeight="1" x14ac:dyDescent="0.15">
      <c r="A73" s="48" t="s">
        <v>51</v>
      </c>
      <c r="B73" s="3"/>
      <c r="C73" s="3"/>
      <c r="D73" s="19"/>
      <c r="E73" s="4"/>
      <c r="F73" s="3"/>
      <c r="G73" s="3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</row>
    <row r="74" spans="1:26" ht="11.25" customHeight="1" x14ac:dyDescent="0.2">
      <c r="A74" s="3"/>
      <c r="B74" s="3"/>
      <c r="C74" s="3"/>
      <c r="D74" s="19"/>
      <c r="E74" s="24"/>
      <c r="F74" s="3"/>
      <c r="G74" s="3"/>
      <c r="H74" s="49" t="s">
        <v>52</v>
      </c>
      <c r="I74" s="50" t="s">
        <v>53</v>
      </c>
      <c r="J74" s="50" t="s">
        <v>54</v>
      </c>
      <c r="K74" s="51" t="s">
        <v>3</v>
      </c>
      <c r="M74" s="52" t="s">
        <v>34</v>
      </c>
    </row>
    <row r="75" spans="1:26" ht="11.25" customHeight="1" x14ac:dyDescent="0.15">
      <c r="E75" s="1"/>
      <c r="F75" s="53"/>
      <c r="H75" s="54"/>
      <c r="I75" s="55"/>
      <c r="J75" s="55"/>
      <c r="K75" s="56"/>
    </row>
    <row r="76" spans="1:26" ht="11.25" customHeight="1" x14ac:dyDescent="0.15">
      <c r="A76" s="3" t="s">
        <v>55</v>
      </c>
      <c r="E76" s="1"/>
      <c r="F76" s="57"/>
      <c r="H76" s="58"/>
      <c r="I76" s="59"/>
      <c r="J76" s="59"/>
      <c r="K76" s="60">
        <v>3000</v>
      </c>
    </row>
    <row r="77" spans="1:26" ht="11.25" customHeight="1" x14ac:dyDescent="0.15">
      <c r="E77" s="1"/>
      <c r="F77" s="61"/>
      <c r="H77" s="62"/>
      <c r="I77" s="63"/>
      <c r="J77" s="63"/>
      <c r="K77" s="64"/>
    </row>
    <row r="78" spans="1:26" ht="11.25" customHeight="1" x14ac:dyDescent="0.15">
      <c r="A78" s="3" t="s">
        <v>56</v>
      </c>
      <c r="B78" s="3"/>
      <c r="C78" s="3"/>
      <c r="E78" s="4"/>
      <c r="F78" s="57"/>
      <c r="H78" s="58"/>
      <c r="I78" s="59"/>
      <c r="J78" s="59"/>
      <c r="K78" s="60">
        <v>3500</v>
      </c>
    </row>
    <row r="79" spans="1:26" ht="11.25" customHeight="1" x14ac:dyDescent="0.15">
      <c r="C79" s="3"/>
      <c r="E79" s="4"/>
      <c r="F79" s="65"/>
      <c r="H79" s="66"/>
      <c r="I79" s="67"/>
      <c r="J79" s="67"/>
      <c r="K79" s="68"/>
    </row>
    <row r="80" spans="1:26" ht="11.25" customHeight="1" x14ac:dyDescent="0.15">
      <c r="A80" s="3" t="s">
        <v>57</v>
      </c>
      <c r="B80" s="3"/>
      <c r="C80" s="3"/>
      <c r="D80" s="19"/>
      <c r="E80" s="4"/>
      <c r="F80" s="57"/>
      <c r="G80" s="19"/>
      <c r="H80" s="69"/>
      <c r="I80" s="70"/>
      <c r="J80" s="70"/>
      <c r="K80" s="71">
        <v>3010</v>
      </c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</row>
    <row r="81" spans="1:26" ht="11.25" customHeight="1" x14ac:dyDescent="0.15">
      <c r="E81" s="1"/>
      <c r="F81" s="61"/>
      <c r="H81" s="3"/>
      <c r="I81" s="3"/>
      <c r="J81" s="3"/>
      <c r="K81" s="3"/>
    </row>
    <row r="82" spans="1:26" ht="11.25" customHeight="1" x14ac:dyDescent="0.15">
      <c r="A82" s="23" t="s">
        <v>58</v>
      </c>
      <c r="B82" s="23"/>
      <c r="C82" s="23"/>
      <c r="D82" s="3"/>
      <c r="E82" s="24"/>
      <c r="F82" s="72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1.25" customHeight="1" x14ac:dyDescent="0.15">
      <c r="A83" s="23"/>
      <c r="B83" s="23"/>
      <c r="C83" s="23"/>
      <c r="D83" s="3"/>
      <c r="E83" s="24"/>
      <c r="F83" s="23"/>
      <c r="G83" s="3"/>
      <c r="H83" s="3" t="s">
        <v>9</v>
      </c>
      <c r="I83" s="3"/>
      <c r="J83" s="3"/>
      <c r="K83" s="73" t="s">
        <v>59</v>
      </c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1.25" customHeight="1" x14ac:dyDescent="0.15">
      <c r="A84" s="23"/>
      <c r="B84" s="23"/>
      <c r="C84" s="23"/>
      <c r="D84" s="3"/>
      <c r="E84" s="4"/>
      <c r="F84" s="74"/>
      <c r="G84" s="3"/>
      <c r="H84" s="75"/>
      <c r="I84" s="75"/>
      <c r="J84" s="75"/>
      <c r="K84" s="75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1.25" customHeight="1" x14ac:dyDescent="0.15">
      <c r="A85" s="23" t="s">
        <v>60</v>
      </c>
      <c r="B85" s="23"/>
      <c r="C85" s="23"/>
      <c r="D85" s="3"/>
      <c r="E85" s="4"/>
      <c r="F85" s="72"/>
      <c r="G85" s="3"/>
      <c r="H85" s="76"/>
      <c r="I85" s="76"/>
      <c r="J85" s="76"/>
      <c r="K85" s="76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1.25" customHeight="1" x14ac:dyDescent="0.15">
      <c r="A86" s="3"/>
      <c r="B86" s="3"/>
      <c r="C86" s="3"/>
      <c r="D86" s="3"/>
      <c r="E86" s="4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0.5" customHeight="1" x14ac:dyDescent="0.15">
      <c r="E87" s="1"/>
    </row>
    <row r="88" spans="1:26" ht="10.5" customHeight="1" x14ac:dyDescent="0.15">
      <c r="E88" s="1"/>
    </row>
    <row r="89" spans="1:26" ht="10.5" customHeight="1" x14ac:dyDescent="0.15">
      <c r="E89" s="1"/>
    </row>
    <row r="90" spans="1:26" ht="10.5" customHeight="1" x14ac:dyDescent="0.15">
      <c r="E90" s="1"/>
    </row>
    <row r="91" spans="1:26" ht="9.75" customHeight="1" x14ac:dyDescent="0.15">
      <c r="E91" s="1"/>
    </row>
    <row r="92" spans="1:26" ht="9.75" customHeight="1" x14ac:dyDescent="0.15">
      <c r="E92" s="1"/>
    </row>
    <row r="93" spans="1:26" ht="9.75" customHeight="1" x14ac:dyDescent="0.15">
      <c r="E93" s="1"/>
    </row>
    <row r="94" spans="1:26" ht="9.75" customHeight="1" x14ac:dyDescent="0.15">
      <c r="E94" s="1"/>
    </row>
    <row r="95" spans="1:26" ht="9.75" customHeight="1" x14ac:dyDescent="0.15">
      <c r="E95" s="1"/>
    </row>
    <row r="96" spans="1:26" ht="9.75" customHeight="1" x14ac:dyDescent="0.15">
      <c r="E96" s="1"/>
    </row>
    <row r="97" spans="5:5" ht="9.75" customHeight="1" x14ac:dyDescent="0.15">
      <c r="E97" s="1"/>
    </row>
    <row r="98" spans="5:5" ht="9.75" customHeight="1" x14ac:dyDescent="0.15">
      <c r="E98" s="1"/>
    </row>
    <row r="99" spans="5:5" ht="9.75" customHeight="1" x14ac:dyDescent="0.15">
      <c r="E99" s="1"/>
    </row>
    <row r="100" spans="5:5" ht="9.75" customHeight="1" x14ac:dyDescent="0.15">
      <c r="E100" s="1"/>
    </row>
    <row r="101" spans="5:5" ht="9.75" customHeight="1" x14ac:dyDescent="0.15">
      <c r="E101" s="1"/>
    </row>
    <row r="102" spans="5:5" ht="9.75" customHeight="1" x14ac:dyDescent="0.15">
      <c r="E102" s="1"/>
    </row>
    <row r="103" spans="5:5" ht="9.75" customHeight="1" x14ac:dyDescent="0.15">
      <c r="E103" s="1"/>
    </row>
    <row r="104" spans="5:5" ht="9.75" customHeight="1" x14ac:dyDescent="0.15">
      <c r="E104" s="1"/>
    </row>
    <row r="105" spans="5:5" ht="9.75" customHeight="1" x14ac:dyDescent="0.15">
      <c r="E105" s="1"/>
    </row>
    <row r="106" spans="5:5" ht="9.75" customHeight="1" x14ac:dyDescent="0.15">
      <c r="E106" s="1"/>
    </row>
    <row r="107" spans="5:5" ht="9.75" customHeight="1" x14ac:dyDescent="0.15">
      <c r="E107" s="1"/>
    </row>
    <row r="108" spans="5:5" ht="9.75" customHeight="1" x14ac:dyDescent="0.15">
      <c r="E108" s="1"/>
    </row>
    <row r="109" spans="5:5" ht="9.75" customHeight="1" x14ac:dyDescent="0.15">
      <c r="E109" s="1"/>
    </row>
    <row r="110" spans="5:5" ht="9.75" customHeight="1" x14ac:dyDescent="0.15">
      <c r="E110" s="1"/>
    </row>
    <row r="111" spans="5:5" ht="9.75" customHeight="1" x14ac:dyDescent="0.15">
      <c r="E111" s="1"/>
    </row>
    <row r="112" spans="5:5" ht="9.75" customHeight="1" x14ac:dyDescent="0.15">
      <c r="E112" s="1"/>
    </row>
    <row r="113" spans="5:5" ht="9.75" customHeight="1" x14ac:dyDescent="0.15">
      <c r="E113" s="1"/>
    </row>
    <row r="114" spans="5:5" ht="9.75" customHeight="1" x14ac:dyDescent="0.15">
      <c r="E114" s="1"/>
    </row>
    <row r="115" spans="5:5" ht="9.75" customHeight="1" x14ac:dyDescent="0.15">
      <c r="E115" s="1"/>
    </row>
    <row r="116" spans="5:5" ht="9.75" customHeight="1" x14ac:dyDescent="0.15">
      <c r="E116" s="1"/>
    </row>
    <row r="117" spans="5:5" ht="9.75" customHeight="1" x14ac:dyDescent="0.15">
      <c r="E117" s="1"/>
    </row>
    <row r="118" spans="5:5" ht="9.75" customHeight="1" x14ac:dyDescent="0.15">
      <c r="E118" s="1"/>
    </row>
    <row r="119" spans="5:5" ht="9.75" customHeight="1" x14ac:dyDescent="0.15">
      <c r="E119" s="1"/>
    </row>
    <row r="120" spans="5:5" ht="9.75" customHeight="1" x14ac:dyDescent="0.15">
      <c r="E120" s="1"/>
    </row>
    <row r="121" spans="5:5" ht="9.75" customHeight="1" x14ac:dyDescent="0.15">
      <c r="E121" s="1"/>
    </row>
    <row r="122" spans="5:5" ht="9.75" customHeight="1" x14ac:dyDescent="0.15">
      <c r="E122" s="1"/>
    </row>
    <row r="123" spans="5:5" ht="9.75" customHeight="1" x14ac:dyDescent="0.15">
      <c r="E123" s="1"/>
    </row>
    <row r="124" spans="5:5" ht="9.75" customHeight="1" x14ac:dyDescent="0.15">
      <c r="E124" s="1"/>
    </row>
    <row r="125" spans="5:5" ht="9.75" customHeight="1" x14ac:dyDescent="0.15">
      <c r="E125" s="1"/>
    </row>
    <row r="126" spans="5:5" ht="9.75" customHeight="1" x14ac:dyDescent="0.15">
      <c r="E126" s="1"/>
    </row>
    <row r="127" spans="5:5" ht="9.75" customHeight="1" x14ac:dyDescent="0.15">
      <c r="E127" s="1"/>
    </row>
    <row r="128" spans="5:5" ht="9.75" customHeight="1" x14ac:dyDescent="0.15">
      <c r="E128" s="1"/>
    </row>
    <row r="129" spans="5:5" ht="9.75" customHeight="1" x14ac:dyDescent="0.15">
      <c r="E129" s="1"/>
    </row>
    <row r="130" spans="5:5" ht="9.75" customHeight="1" x14ac:dyDescent="0.15">
      <c r="E130" s="1"/>
    </row>
    <row r="131" spans="5:5" ht="9.75" customHeight="1" x14ac:dyDescent="0.15">
      <c r="E131" s="1"/>
    </row>
    <row r="132" spans="5:5" ht="9.75" customHeight="1" x14ac:dyDescent="0.15">
      <c r="E132" s="1"/>
    </row>
    <row r="133" spans="5:5" ht="9.75" customHeight="1" x14ac:dyDescent="0.15">
      <c r="E133" s="1"/>
    </row>
    <row r="134" spans="5:5" ht="9.75" customHeight="1" x14ac:dyDescent="0.15">
      <c r="E134" s="1"/>
    </row>
    <row r="135" spans="5:5" ht="9.75" customHeight="1" x14ac:dyDescent="0.15">
      <c r="E135" s="1"/>
    </row>
    <row r="136" spans="5:5" ht="9.75" customHeight="1" x14ac:dyDescent="0.15">
      <c r="E136" s="1"/>
    </row>
    <row r="137" spans="5:5" ht="9.75" customHeight="1" x14ac:dyDescent="0.15">
      <c r="E137" s="1"/>
    </row>
    <row r="138" spans="5:5" ht="9.75" customHeight="1" x14ac:dyDescent="0.15">
      <c r="E138" s="1"/>
    </row>
    <row r="139" spans="5:5" ht="9.75" customHeight="1" x14ac:dyDescent="0.15">
      <c r="E139" s="1"/>
    </row>
    <row r="140" spans="5:5" ht="9.75" customHeight="1" x14ac:dyDescent="0.15">
      <c r="E140" s="1"/>
    </row>
    <row r="141" spans="5:5" ht="9.75" customHeight="1" x14ac:dyDescent="0.15">
      <c r="E141" s="1"/>
    </row>
    <row r="142" spans="5:5" ht="9.75" customHeight="1" x14ac:dyDescent="0.15">
      <c r="E142" s="1"/>
    </row>
    <row r="143" spans="5:5" ht="9.75" customHeight="1" x14ac:dyDescent="0.15">
      <c r="E143" s="1"/>
    </row>
    <row r="144" spans="5:5" ht="9.75" customHeight="1" x14ac:dyDescent="0.15">
      <c r="E144" s="1"/>
    </row>
    <row r="145" spans="5:5" ht="9.75" customHeight="1" x14ac:dyDescent="0.15">
      <c r="E145" s="1"/>
    </row>
    <row r="146" spans="5:5" ht="9.75" customHeight="1" x14ac:dyDescent="0.15">
      <c r="E146" s="1"/>
    </row>
    <row r="147" spans="5:5" ht="9.75" customHeight="1" x14ac:dyDescent="0.15">
      <c r="E147" s="1"/>
    </row>
    <row r="148" spans="5:5" ht="9.75" customHeight="1" x14ac:dyDescent="0.15">
      <c r="E148" s="1"/>
    </row>
    <row r="149" spans="5:5" ht="9.75" customHeight="1" x14ac:dyDescent="0.15">
      <c r="E149" s="1"/>
    </row>
    <row r="150" spans="5:5" ht="9.75" customHeight="1" x14ac:dyDescent="0.15">
      <c r="E150" s="1"/>
    </row>
    <row r="151" spans="5:5" ht="9.75" customHeight="1" x14ac:dyDescent="0.15">
      <c r="E151" s="1"/>
    </row>
    <row r="152" spans="5:5" ht="9.75" customHeight="1" x14ac:dyDescent="0.15">
      <c r="E152" s="1"/>
    </row>
    <row r="153" spans="5:5" ht="9.75" customHeight="1" x14ac:dyDescent="0.15">
      <c r="E153" s="1"/>
    </row>
    <row r="154" spans="5:5" ht="9.75" customHeight="1" x14ac:dyDescent="0.15">
      <c r="E154" s="1"/>
    </row>
    <row r="155" spans="5:5" ht="9.75" customHeight="1" x14ac:dyDescent="0.15">
      <c r="E155" s="1"/>
    </row>
    <row r="156" spans="5:5" ht="9.75" customHeight="1" x14ac:dyDescent="0.15">
      <c r="E156" s="1"/>
    </row>
    <row r="157" spans="5:5" ht="9.75" customHeight="1" x14ac:dyDescent="0.15">
      <c r="E157" s="1"/>
    </row>
    <row r="158" spans="5:5" ht="9.75" customHeight="1" x14ac:dyDescent="0.15">
      <c r="E158" s="1"/>
    </row>
    <row r="159" spans="5:5" ht="9.75" customHeight="1" x14ac:dyDescent="0.15">
      <c r="E159" s="1"/>
    </row>
    <row r="160" spans="5:5" ht="9.75" customHeight="1" x14ac:dyDescent="0.15">
      <c r="E160" s="1"/>
    </row>
    <row r="161" spans="5:5" ht="9.75" customHeight="1" x14ac:dyDescent="0.15">
      <c r="E161" s="1"/>
    </row>
    <row r="162" spans="5:5" ht="9.75" customHeight="1" x14ac:dyDescent="0.15">
      <c r="E162" s="1"/>
    </row>
    <row r="163" spans="5:5" ht="9.75" customHeight="1" x14ac:dyDescent="0.15">
      <c r="E163" s="1"/>
    </row>
    <row r="164" spans="5:5" ht="9.75" customHeight="1" x14ac:dyDescent="0.15">
      <c r="E164" s="1"/>
    </row>
    <row r="165" spans="5:5" ht="9.75" customHeight="1" x14ac:dyDescent="0.15">
      <c r="E165" s="1"/>
    </row>
    <row r="166" spans="5:5" ht="9.75" customHeight="1" x14ac:dyDescent="0.15">
      <c r="E166" s="1"/>
    </row>
    <row r="167" spans="5:5" ht="9.75" customHeight="1" x14ac:dyDescent="0.15">
      <c r="E167" s="1"/>
    </row>
    <row r="168" spans="5:5" ht="9.75" customHeight="1" x14ac:dyDescent="0.15">
      <c r="E168" s="1"/>
    </row>
    <row r="169" spans="5:5" ht="9.75" customHeight="1" x14ac:dyDescent="0.15">
      <c r="E169" s="1"/>
    </row>
    <row r="170" spans="5:5" ht="9.75" customHeight="1" x14ac:dyDescent="0.15">
      <c r="E170" s="1"/>
    </row>
    <row r="171" spans="5:5" ht="9.75" customHeight="1" x14ac:dyDescent="0.15">
      <c r="E171" s="1"/>
    </row>
    <row r="172" spans="5:5" ht="9.75" customHeight="1" x14ac:dyDescent="0.15">
      <c r="E172" s="1"/>
    </row>
    <row r="173" spans="5:5" ht="9.75" customHeight="1" x14ac:dyDescent="0.15">
      <c r="E173" s="1"/>
    </row>
    <row r="174" spans="5:5" ht="9.75" customHeight="1" x14ac:dyDescent="0.15">
      <c r="E174" s="1"/>
    </row>
    <row r="175" spans="5:5" ht="9.75" customHeight="1" x14ac:dyDescent="0.15">
      <c r="E175" s="1"/>
    </row>
    <row r="176" spans="5:5" ht="9.75" customHeight="1" x14ac:dyDescent="0.15">
      <c r="E176" s="1"/>
    </row>
    <row r="177" spans="5:5" ht="9.75" customHeight="1" x14ac:dyDescent="0.15">
      <c r="E177" s="1"/>
    </row>
    <row r="178" spans="5:5" ht="9.75" customHeight="1" x14ac:dyDescent="0.15">
      <c r="E178" s="1"/>
    </row>
    <row r="179" spans="5:5" ht="9.75" customHeight="1" x14ac:dyDescent="0.15">
      <c r="E179" s="1"/>
    </row>
    <row r="180" spans="5:5" ht="9.75" customHeight="1" x14ac:dyDescent="0.15">
      <c r="E180" s="1"/>
    </row>
    <row r="181" spans="5:5" ht="9.75" customHeight="1" x14ac:dyDescent="0.15">
      <c r="E181" s="1"/>
    </row>
    <row r="182" spans="5:5" ht="9.75" customHeight="1" x14ac:dyDescent="0.15">
      <c r="E182" s="1"/>
    </row>
    <row r="183" spans="5:5" ht="9.75" customHeight="1" x14ac:dyDescent="0.15">
      <c r="E183" s="1"/>
    </row>
    <row r="184" spans="5:5" ht="9.75" customHeight="1" x14ac:dyDescent="0.15">
      <c r="E184" s="1"/>
    </row>
    <row r="185" spans="5:5" ht="9.75" customHeight="1" x14ac:dyDescent="0.15">
      <c r="E185" s="1"/>
    </row>
    <row r="186" spans="5:5" ht="9.75" customHeight="1" x14ac:dyDescent="0.15">
      <c r="E186" s="1"/>
    </row>
    <row r="187" spans="5:5" ht="9.75" customHeight="1" x14ac:dyDescent="0.15">
      <c r="E187" s="1"/>
    </row>
    <row r="188" spans="5:5" ht="9.75" customHeight="1" x14ac:dyDescent="0.15">
      <c r="E188" s="1"/>
    </row>
    <row r="189" spans="5:5" ht="9.75" customHeight="1" x14ac:dyDescent="0.15">
      <c r="E189" s="1"/>
    </row>
    <row r="190" spans="5:5" ht="9.75" customHeight="1" x14ac:dyDescent="0.15">
      <c r="E190" s="1"/>
    </row>
    <row r="191" spans="5:5" ht="9.75" customHeight="1" x14ac:dyDescent="0.15">
      <c r="E191" s="1"/>
    </row>
    <row r="192" spans="5:5" ht="9.75" customHeight="1" x14ac:dyDescent="0.15">
      <c r="E192" s="1"/>
    </row>
    <row r="193" spans="5:5" ht="9.75" customHeight="1" x14ac:dyDescent="0.15">
      <c r="E193" s="1"/>
    </row>
    <row r="194" spans="5:5" ht="9.75" customHeight="1" x14ac:dyDescent="0.15">
      <c r="E194" s="1"/>
    </row>
    <row r="195" spans="5:5" ht="9.75" customHeight="1" x14ac:dyDescent="0.15">
      <c r="E195" s="1"/>
    </row>
    <row r="196" spans="5:5" ht="9.75" customHeight="1" x14ac:dyDescent="0.15">
      <c r="E196" s="1"/>
    </row>
    <row r="197" spans="5:5" ht="9.75" customHeight="1" x14ac:dyDescent="0.15">
      <c r="E197" s="1"/>
    </row>
    <row r="198" spans="5:5" ht="9.75" customHeight="1" x14ac:dyDescent="0.15">
      <c r="E198" s="1"/>
    </row>
    <row r="199" spans="5:5" ht="9.75" customHeight="1" x14ac:dyDescent="0.15">
      <c r="E199" s="1"/>
    </row>
    <row r="200" spans="5:5" ht="9.75" customHeight="1" x14ac:dyDescent="0.15">
      <c r="E200" s="1"/>
    </row>
    <row r="201" spans="5:5" ht="9.75" customHeight="1" x14ac:dyDescent="0.15">
      <c r="E201" s="1"/>
    </row>
    <row r="202" spans="5:5" ht="9.75" customHeight="1" x14ac:dyDescent="0.15">
      <c r="E202" s="1"/>
    </row>
    <row r="203" spans="5:5" ht="9.75" customHeight="1" x14ac:dyDescent="0.15">
      <c r="E203" s="1"/>
    </row>
    <row r="204" spans="5:5" ht="9.75" customHeight="1" x14ac:dyDescent="0.15">
      <c r="E204" s="1"/>
    </row>
    <row r="205" spans="5:5" ht="9.75" customHeight="1" x14ac:dyDescent="0.15">
      <c r="E205" s="1"/>
    </row>
    <row r="206" spans="5:5" ht="9.75" customHeight="1" x14ac:dyDescent="0.15">
      <c r="E206" s="1"/>
    </row>
    <row r="207" spans="5:5" ht="9.75" customHeight="1" x14ac:dyDescent="0.15">
      <c r="E207" s="1"/>
    </row>
    <row r="208" spans="5:5" ht="9.75" customHeight="1" x14ac:dyDescent="0.15">
      <c r="E208" s="1"/>
    </row>
    <row r="209" spans="5:5" ht="9.75" customHeight="1" x14ac:dyDescent="0.15">
      <c r="E209" s="1"/>
    </row>
    <row r="210" spans="5:5" ht="9.75" customHeight="1" x14ac:dyDescent="0.15">
      <c r="E210" s="1"/>
    </row>
    <row r="211" spans="5:5" ht="9.75" customHeight="1" x14ac:dyDescent="0.15">
      <c r="E211" s="1"/>
    </row>
    <row r="212" spans="5:5" ht="9.75" customHeight="1" x14ac:dyDescent="0.15">
      <c r="E212" s="1"/>
    </row>
    <row r="213" spans="5:5" ht="9.75" customHeight="1" x14ac:dyDescent="0.15">
      <c r="E213" s="1"/>
    </row>
    <row r="214" spans="5:5" ht="9.75" customHeight="1" x14ac:dyDescent="0.15">
      <c r="E214" s="1"/>
    </row>
    <row r="215" spans="5:5" ht="9.75" customHeight="1" x14ac:dyDescent="0.15">
      <c r="E215" s="1"/>
    </row>
    <row r="216" spans="5:5" ht="9.75" customHeight="1" x14ac:dyDescent="0.15">
      <c r="E216" s="1"/>
    </row>
    <row r="217" spans="5:5" ht="9.75" customHeight="1" x14ac:dyDescent="0.15">
      <c r="E217" s="1"/>
    </row>
    <row r="218" spans="5:5" ht="9.75" customHeight="1" x14ac:dyDescent="0.15">
      <c r="E218" s="1"/>
    </row>
    <row r="219" spans="5:5" ht="9.75" customHeight="1" x14ac:dyDescent="0.15">
      <c r="E219" s="1"/>
    </row>
    <row r="220" spans="5:5" ht="9.75" customHeight="1" x14ac:dyDescent="0.15">
      <c r="E220" s="1"/>
    </row>
    <row r="221" spans="5:5" ht="9.75" customHeight="1" x14ac:dyDescent="0.15">
      <c r="E221" s="1"/>
    </row>
    <row r="222" spans="5:5" ht="9.75" customHeight="1" x14ac:dyDescent="0.15">
      <c r="E222" s="1"/>
    </row>
    <row r="223" spans="5:5" ht="9.75" customHeight="1" x14ac:dyDescent="0.15">
      <c r="E223" s="1"/>
    </row>
    <row r="224" spans="5:5" ht="9.75" customHeight="1" x14ac:dyDescent="0.15">
      <c r="E224" s="1"/>
    </row>
    <row r="225" spans="5:5" ht="9.75" customHeight="1" x14ac:dyDescent="0.15">
      <c r="E225" s="1"/>
    </row>
    <row r="226" spans="5:5" ht="9.75" customHeight="1" x14ac:dyDescent="0.15">
      <c r="E226" s="1"/>
    </row>
    <row r="227" spans="5:5" ht="9.75" customHeight="1" x14ac:dyDescent="0.15">
      <c r="E227" s="1"/>
    </row>
    <row r="228" spans="5:5" ht="9.75" customHeight="1" x14ac:dyDescent="0.15">
      <c r="E228" s="1"/>
    </row>
    <row r="229" spans="5:5" ht="9.75" customHeight="1" x14ac:dyDescent="0.15">
      <c r="E229" s="1"/>
    </row>
    <row r="230" spans="5:5" ht="9.75" customHeight="1" x14ac:dyDescent="0.15">
      <c r="E230" s="1"/>
    </row>
    <row r="231" spans="5:5" ht="9.75" customHeight="1" x14ac:dyDescent="0.15">
      <c r="E231" s="1"/>
    </row>
    <row r="232" spans="5:5" ht="9.75" customHeight="1" x14ac:dyDescent="0.15">
      <c r="E232" s="1"/>
    </row>
    <row r="233" spans="5:5" ht="9.75" customHeight="1" x14ac:dyDescent="0.15">
      <c r="E233" s="1"/>
    </row>
    <row r="234" spans="5:5" ht="9.75" customHeight="1" x14ac:dyDescent="0.15">
      <c r="E234" s="1"/>
    </row>
    <row r="235" spans="5:5" ht="9.75" customHeight="1" x14ac:dyDescent="0.15">
      <c r="E235" s="1"/>
    </row>
    <row r="236" spans="5:5" ht="9.75" customHeight="1" x14ac:dyDescent="0.15">
      <c r="E236" s="1"/>
    </row>
    <row r="237" spans="5:5" ht="9.75" customHeight="1" x14ac:dyDescent="0.15">
      <c r="E237" s="1"/>
    </row>
    <row r="238" spans="5:5" ht="9.75" customHeight="1" x14ac:dyDescent="0.15">
      <c r="E238" s="1"/>
    </row>
    <row r="239" spans="5:5" ht="9.75" customHeight="1" x14ac:dyDescent="0.15">
      <c r="E239" s="1"/>
    </row>
    <row r="240" spans="5:5" ht="9.75" customHeight="1" x14ac:dyDescent="0.15">
      <c r="E240" s="1"/>
    </row>
    <row r="241" spans="5:5" ht="9.75" customHeight="1" x14ac:dyDescent="0.15">
      <c r="E241" s="1"/>
    </row>
    <row r="242" spans="5:5" ht="9.75" customHeight="1" x14ac:dyDescent="0.15">
      <c r="E242" s="1"/>
    </row>
    <row r="243" spans="5:5" ht="9.75" customHeight="1" x14ac:dyDescent="0.15">
      <c r="E243" s="1"/>
    </row>
    <row r="244" spans="5:5" ht="9.75" customHeight="1" x14ac:dyDescent="0.15">
      <c r="E244" s="1"/>
    </row>
    <row r="245" spans="5:5" ht="9.75" customHeight="1" x14ac:dyDescent="0.15">
      <c r="E245" s="1"/>
    </row>
    <row r="246" spans="5:5" ht="9.75" customHeight="1" x14ac:dyDescent="0.15">
      <c r="E246" s="1"/>
    </row>
    <row r="247" spans="5:5" ht="9.75" customHeight="1" x14ac:dyDescent="0.15">
      <c r="E247" s="1"/>
    </row>
    <row r="248" spans="5:5" ht="9.75" customHeight="1" x14ac:dyDescent="0.15">
      <c r="E248" s="1"/>
    </row>
    <row r="249" spans="5:5" ht="9.75" customHeight="1" x14ac:dyDescent="0.15">
      <c r="E249" s="1"/>
    </row>
    <row r="250" spans="5:5" ht="9.75" customHeight="1" x14ac:dyDescent="0.15">
      <c r="E250" s="1"/>
    </row>
    <row r="251" spans="5:5" ht="9.75" customHeight="1" x14ac:dyDescent="0.15">
      <c r="E251" s="1"/>
    </row>
    <row r="252" spans="5:5" ht="9.75" customHeight="1" x14ac:dyDescent="0.15">
      <c r="E252" s="1"/>
    </row>
    <row r="253" spans="5:5" ht="9.75" customHeight="1" x14ac:dyDescent="0.15">
      <c r="E253" s="1"/>
    </row>
    <row r="254" spans="5:5" ht="9.75" customHeight="1" x14ac:dyDescent="0.15">
      <c r="E254" s="1"/>
    </row>
    <row r="255" spans="5:5" ht="9.75" customHeight="1" x14ac:dyDescent="0.15">
      <c r="E255" s="1"/>
    </row>
    <row r="256" spans="5:5" ht="9.75" customHeight="1" x14ac:dyDescent="0.15">
      <c r="E256" s="1"/>
    </row>
    <row r="257" spans="5:5" ht="9.75" customHeight="1" x14ac:dyDescent="0.15">
      <c r="E257" s="1"/>
    </row>
    <row r="258" spans="5:5" ht="9.75" customHeight="1" x14ac:dyDescent="0.15">
      <c r="E258" s="1"/>
    </row>
    <row r="259" spans="5:5" ht="9.75" customHeight="1" x14ac:dyDescent="0.15">
      <c r="E259" s="1"/>
    </row>
    <row r="260" spans="5:5" ht="9.75" customHeight="1" x14ac:dyDescent="0.15">
      <c r="E260" s="1"/>
    </row>
    <row r="261" spans="5:5" ht="9.75" customHeight="1" x14ac:dyDescent="0.15">
      <c r="E261" s="1"/>
    </row>
    <row r="262" spans="5:5" ht="9.75" customHeight="1" x14ac:dyDescent="0.15">
      <c r="E262" s="1"/>
    </row>
    <row r="263" spans="5:5" ht="9.75" customHeight="1" x14ac:dyDescent="0.15">
      <c r="E263" s="1"/>
    </row>
    <row r="264" spans="5:5" ht="9.75" customHeight="1" x14ac:dyDescent="0.15">
      <c r="E264" s="1"/>
    </row>
    <row r="265" spans="5:5" ht="9.75" customHeight="1" x14ac:dyDescent="0.15">
      <c r="E265" s="1"/>
    </row>
    <row r="266" spans="5:5" ht="9.75" customHeight="1" x14ac:dyDescent="0.15">
      <c r="E266" s="1"/>
    </row>
    <row r="267" spans="5:5" ht="9.75" customHeight="1" x14ac:dyDescent="0.15">
      <c r="E267" s="1"/>
    </row>
    <row r="268" spans="5:5" ht="9.75" customHeight="1" x14ac:dyDescent="0.15">
      <c r="E268" s="1"/>
    </row>
    <row r="269" spans="5:5" ht="9.75" customHeight="1" x14ac:dyDescent="0.15">
      <c r="E269" s="1"/>
    </row>
    <row r="270" spans="5:5" ht="9.75" customHeight="1" x14ac:dyDescent="0.15">
      <c r="E270" s="1"/>
    </row>
    <row r="271" spans="5:5" ht="9.75" customHeight="1" x14ac:dyDescent="0.15">
      <c r="E271" s="1"/>
    </row>
    <row r="272" spans="5:5" ht="9.75" customHeight="1" x14ac:dyDescent="0.15">
      <c r="E272" s="1"/>
    </row>
    <row r="273" spans="5:5" ht="9.75" customHeight="1" x14ac:dyDescent="0.15">
      <c r="E273" s="1"/>
    </row>
    <row r="274" spans="5:5" ht="9.75" customHeight="1" x14ac:dyDescent="0.15">
      <c r="E274" s="1"/>
    </row>
    <row r="275" spans="5:5" ht="9.75" customHeight="1" x14ac:dyDescent="0.15">
      <c r="E275" s="1"/>
    </row>
    <row r="276" spans="5:5" ht="9.75" customHeight="1" x14ac:dyDescent="0.15">
      <c r="E276" s="1"/>
    </row>
    <row r="277" spans="5:5" ht="9.75" customHeight="1" x14ac:dyDescent="0.15">
      <c r="E277" s="1"/>
    </row>
    <row r="278" spans="5:5" ht="9.75" customHeight="1" x14ac:dyDescent="0.15">
      <c r="E278" s="1"/>
    </row>
    <row r="279" spans="5:5" ht="9.75" customHeight="1" x14ac:dyDescent="0.15">
      <c r="E279" s="1"/>
    </row>
    <row r="280" spans="5:5" ht="9.75" customHeight="1" x14ac:dyDescent="0.15">
      <c r="E280" s="1"/>
    </row>
    <row r="281" spans="5:5" ht="9.75" customHeight="1" x14ac:dyDescent="0.15">
      <c r="E281" s="1"/>
    </row>
    <row r="282" spans="5:5" ht="9.75" customHeight="1" x14ac:dyDescent="0.15">
      <c r="E282" s="1"/>
    </row>
    <row r="283" spans="5:5" ht="9.75" customHeight="1" x14ac:dyDescent="0.15">
      <c r="E283" s="1"/>
    </row>
    <row r="284" spans="5:5" ht="9.75" customHeight="1" x14ac:dyDescent="0.15">
      <c r="E284" s="1"/>
    </row>
    <row r="285" spans="5:5" ht="9.75" customHeight="1" x14ac:dyDescent="0.15">
      <c r="E285" s="1"/>
    </row>
    <row r="286" spans="5:5" ht="9.75" customHeight="1" x14ac:dyDescent="0.15">
      <c r="E286" s="1"/>
    </row>
    <row r="287" spans="5:5" ht="9.75" customHeight="1" x14ac:dyDescent="0.15">
      <c r="E287" s="1"/>
    </row>
    <row r="288" spans="5:5" ht="9.75" customHeight="1" x14ac:dyDescent="0.15">
      <c r="E288" s="1"/>
    </row>
    <row r="289" spans="5:5" ht="9.75" customHeight="1" x14ac:dyDescent="0.15">
      <c r="E289" s="1"/>
    </row>
    <row r="290" spans="5:5" ht="9.75" customHeight="1" x14ac:dyDescent="0.15">
      <c r="E290" s="1"/>
    </row>
    <row r="291" spans="5:5" ht="9.75" customHeight="1" x14ac:dyDescent="0.15">
      <c r="E291" s="1"/>
    </row>
    <row r="292" spans="5:5" ht="9.75" customHeight="1" x14ac:dyDescent="0.15">
      <c r="E292" s="1"/>
    </row>
    <row r="293" spans="5:5" ht="9.75" customHeight="1" x14ac:dyDescent="0.15">
      <c r="E293" s="1"/>
    </row>
    <row r="294" spans="5:5" ht="9.75" customHeight="1" x14ac:dyDescent="0.15">
      <c r="E294" s="1"/>
    </row>
    <row r="295" spans="5:5" ht="9.75" customHeight="1" x14ac:dyDescent="0.15">
      <c r="E295" s="1"/>
    </row>
    <row r="296" spans="5:5" ht="9.75" customHeight="1" x14ac:dyDescent="0.15">
      <c r="E296" s="1"/>
    </row>
    <row r="297" spans="5:5" ht="9.75" customHeight="1" x14ac:dyDescent="0.15">
      <c r="E297" s="1"/>
    </row>
    <row r="298" spans="5:5" ht="9.75" customHeight="1" x14ac:dyDescent="0.15">
      <c r="E298" s="1"/>
    </row>
    <row r="299" spans="5:5" ht="9.75" customHeight="1" x14ac:dyDescent="0.15">
      <c r="E299" s="1"/>
    </row>
    <row r="300" spans="5:5" ht="9.75" customHeight="1" x14ac:dyDescent="0.15">
      <c r="E300" s="1"/>
    </row>
    <row r="301" spans="5:5" ht="9.75" customHeight="1" x14ac:dyDescent="0.15">
      <c r="E301" s="1"/>
    </row>
    <row r="302" spans="5:5" ht="9.75" customHeight="1" x14ac:dyDescent="0.15">
      <c r="E302" s="1"/>
    </row>
    <row r="303" spans="5:5" ht="9.75" customHeight="1" x14ac:dyDescent="0.15">
      <c r="E303" s="1"/>
    </row>
    <row r="304" spans="5:5" ht="9.75" customHeight="1" x14ac:dyDescent="0.15">
      <c r="E304" s="1"/>
    </row>
    <row r="305" spans="5:5" ht="9.75" customHeight="1" x14ac:dyDescent="0.15">
      <c r="E305" s="1"/>
    </row>
    <row r="306" spans="5:5" ht="9.75" customHeight="1" x14ac:dyDescent="0.15">
      <c r="E306" s="1"/>
    </row>
    <row r="307" spans="5:5" ht="9.75" customHeight="1" x14ac:dyDescent="0.15">
      <c r="E307" s="1"/>
    </row>
    <row r="308" spans="5:5" ht="9.75" customHeight="1" x14ac:dyDescent="0.15">
      <c r="E308" s="1"/>
    </row>
    <row r="309" spans="5:5" ht="9.75" customHeight="1" x14ac:dyDescent="0.15">
      <c r="E309" s="1"/>
    </row>
    <row r="310" spans="5:5" ht="9.75" customHeight="1" x14ac:dyDescent="0.15">
      <c r="E310" s="1"/>
    </row>
    <row r="311" spans="5:5" ht="9.75" customHeight="1" x14ac:dyDescent="0.15">
      <c r="E311" s="1"/>
    </row>
    <row r="312" spans="5:5" ht="9.75" customHeight="1" x14ac:dyDescent="0.15">
      <c r="E312" s="1"/>
    </row>
    <row r="313" spans="5:5" ht="9.75" customHeight="1" x14ac:dyDescent="0.15">
      <c r="E313" s="1"/>
    </row>
    <row r="314" spans="5:5" ht="9.75" customHeight="1" x14ac:dyDescent="0.15">
      <c r="E314" s="1"/>
    </row>
    <row r="315" spans="5:5" ht="9.75" customHeight="1" x14ac:dyDescent="0.15">
      <c r="E315" s="1"/>
    </row>
    <row r="316" spans="5:5" ht="9.75" customHeight="1" x14ac:dyDescent="0.15">
      <c r="E316" s="1"/>
    </row>
    <row r="317" spans="5:5" ht="9.75" customHeight="1" x14ac:dyDescent="0.15">
      <c r="E317" s="1"/>
    </row>
    <row r="318" spans="5:5" ht="9.75" customHeight="1" x14ac:dyDescent="0.15">
      <c r="E318" s="1"/>
    </row>
    <row r="319" spans="5:5" ht="9.75" customHeight="1" x14ac:dyDescent="0.15">
      <c r="E319" s="1"/>
    </row>
    <row r="320" spans="5:5" ht="9.75" customHeight="1" x14ac:dyDescent="0.15">
      <c r="E320" s="1"/>
    </row>
    <row r="321" spans="5:5" ht="9.75" customHeight="1" x14ac:dyDescent="0.15">
      <c r="E321" s="1"/>
    </row>
    <row r="322" spans="5:5" ht="9.75" customHeight="1" x14ac:dyDescent="0.15">
      <c r="E322" s="1"/>
    </row>
    <row r="323" spans="5:5" ht="9.75" customHeight="1" x14ac:dyDescent="0.15">
      <c r="E323" s="1"/>
    </row>
    <row r="324" spans="5:5" ht="9.75" customHeight="1" x14ac:dyDescent="0.15">
      <c r="E324" s="1"/>
    </row>
    <row r="325" spans="5:5" ht="9.75" customHeight="1" x14ac:dyDescent="0.15">
      <c r="E325" s="1"/>
    </row>
    <row r="326" spans="5:5" ht="9.75" customHeight="1" x14ac:dyDescent="0.15">
      <c r="E326" s="1"/>
    </row>
    <row r="327" spans="5:5" ht="9.75" customHeight="1" x14ac:dyDescent="0.15">
      <c r="E327" s="1"/>
    </row>
    <row r="328" spans="5:5" ht="9.75" customHeight="1" x14ac:dyDescent="0.15">
      <c r="E328" s="1"/>
    </row>
    <row r="329" spans="5:5" ht="9.75" customHeight="1" x14ac:dyDescent="0.15">
      <c r="E329" s="1"/>
    </row>
    <row r="330" spans="5:5" ht="9.75" customHeight="1" x14ac:dyDescent="0.15">
      <c r="E330" s="1"/>
    </row>
    <row r="331" spans="5:5" ht="9.75" customHeight="1" x14ac:dyDescent="0.15">
      <c r="E331" s="1"/>
    </row>
    <row r="332" spans="5:5" ht="9.75" customHeight="1" x14ac:dyDescent="0.15">
      <c r="E332" s="1"/>
    </row>
    <row r="333" spans="5:5" ht="9.75" customHeight="1" x14ac:dyDescent="0.15">
      <c r="E333" s="1"/>
    </row>
    <row r="334" spans="5:5" ht="9.75" customHeight="1" x14ac:dyDescent="0.15">
      <c r="E334" s="1"/>
    </row>
    <row r="335" spans="5:5" ht="9.75" customHeight="1" x14ac:dyDescent="0.15">
      <c r="E335" s="1"/>
    </row>
    <row r="336" spans="5:5" ht="9.75" customHeight="1" x14ac:dyDescent="0.15">
      <c r="E336" s="1"/>
    </row>
    <row r="337" spans="5:5" ht="9.75" customHeight="1" x14ac:dyDescent="0.15">
      <c r="E337" s="1"/>
    </row>
    <row r="338" spans="5:5" ht="9.75" customHeight="1" x14ac:dyDescent="0.15">
      <c r="E338" s="1"/>
    </row>
    <row r="339" spans="5:5" ht="9.75" customHeight="1" x14ac:dyDescent="0.15">
      <c r="E339" s="1"/>
    </row>
    <row r="340" spans="5:5" ht="9.75" customHeight="1" x14ac:dyDescent="0.15">
      <c r="E340" s="1"/>
    </row>
    <row r="341" spans="5:5" ht="9.75" customHeight="1" x14ac:dyDescent="0.15">
      <c r="E341" s="1"/>
    </row>
    <row r="342" spans="5:5" ht="9.75" customHeight="1" x14ac:dyDescent="0.15">
      <c r="E342" s="1"/>
    </row>
    <row r="343" spans="5:5" ht="9.75" customHeight="1" x14ac:dyDescent="0.15">
      <c r="E343" s="1"/>
    </row>
    <row r="344" spans="5:5" ht="9.75" customHeight="1" x14ac:dyDescent="0.15">
      <c r="E344" s="1"/>
    </row>
    <row r="345" spans="5:5" ht="9.75" customHeight="1" x14ac:dyDescent="0.15">
      <c r="E345" s="1"/>
    </row>
    <row r="346" spans="5:5" ht="9.75" customHeight="1" x14ac:dyDescent="0.15">
      <c r="E346" s="1"/>
    </row>
    <row r="347" spans="5:5" ht="9.75" customHeight="1" x14ac:dyDescent="0.15">
      <c r="E347" s="1"/>
    </row>
    <row r="348" spans="5:5" ht="9.75" customHeight="1" x14ac:dyDescent="0.15">
      <c r="E348" s="1"/>
    </row>
    <row r="349" spans="5:5" ht="9.75" customHeight="1" x14ac:dyDescent="0.15">
      <c r="E349" s="1"/>
    </row>
    <row r="350" spans="5:5" ht="9.75" customHeight="1" x14ac:dyDescent="0.15">
      <c r="E350" s="1"/>
    </row>
    <row r="351" spans="5:5" ht="9.75" customHeight="1" x14ac:dyDescent="0.15">
      <c r="E351" s="1"/>
    </row>
    <row r="352" spans="5:5" ht="9.75" customHeight="1" x14ac:dyDescent="0.15">
      <c r="E352" s="1"/>
    </row>
    <row r="353" spans="5:5" ht="9.75" customHeight="1" x14ac:dyDescent="0.15">
      <c r="E353" s="1"/>
    </row>
    <row r="354" spans="5:5" ht="9.75" customHeight="1" x14ac:dyDescent="0.15">
      <c r="E354" s="1"/>
    </row>
    <row r="355" spans="5:5" ht="9.75" customHeight="1" x14ac:dyDescent="0.15">
      <c r="E355" s="1"/>
    </row>
    <row r="356" spans="5:5" ht="9.75" customHeight="1" x14ac:dyDescent="0.15">
      <c r="E356" s="1"/>
    </row>
    <row r="357" spans="5:5" ht="9.75" customHeight="1" x14ac:dyDescent="0.15">
      <c r="E357" s="1"/>
    </row>
    <row r="358" spans="5:5" ht="9.75" customHeight="1" x14ac:dyDescent="0.15">
      <c r="E358" s="1"/>
    </row>
    <row r="359" spans="5:5" ht="9.75" customHeight="1" x14ac:dyDescent="0.15">
      <c r="E359" s="1"/>
    </row>
    <row r="360" spans="5:5" ht="9.75" customHeight="1" x14ac:dyDescent="0.15">
      <c r="E360" s="1"/>
    </row>
    <row r="361" spans="5:5" ht="9.75" customHeight="1" x14ac:dyDescent="0.15">
      <c r="E361" s="1"/>
    </row>
    <row r="362" spans="5:5" ht="9.75" customHeight="1" x14ac:dyDescent="0.15">
      <c r="E362" s="1"/>
    </row>
    <row r="363" spans="5:5" ht="9.75" customHeight="1" x14ac:dyDescent="0.15">
      <c r="E363" s="1"/>
    </row>
    <row r="364" spans="5:5" ht="9.75" customHeight="1" x14ac:dyDescent="0.15">
      <c r="E364" s="1"/>
    </row>
    <row r="365" spans="5:5" ht="9.75" customHeight="1" x14ac:dyDescent="0.15">
      <c r="E365" s="1"/>
    </row>
    <row r="366" spans="5:5" ht="9.75" customHeight="1" x14ac:dyDescent="0.15">
      <c r="E366" s="1"/>
    </row>
    <row r="367" spans="5:5" ht="9.75" customHeight="1" x14ac:dyDescent="0.15">
      <c r="E367" s="1"/>
    </row>
    <row r="368" spans="5:5" ht="9.75" customHeight="1" x14ac:dyDescent="0.15">
      <c r="E368" s="1"/>
    </row>
    <row r="369" spans="5:5" ht="9.75" customHeight="1" x14ac:dyDescent="0.15">
      <c r="E369" s="1"/>
    </row>
    <row r="370" spans="5:5" ht="9.75" customHeight="1" x14ac:dyDescent="0.15">
      <c r="E370" s="1"/>
    </row>
    <row r="371" spans="5:5" ht="9.75" customHeight="1" x14ac:dyDescent="0.15">
      <c r="E371" s="1"/>
    </row>
    <row r="372" spans="5:5" ht="9.75" customHeight="1" x14ac:dyDescent="0.15">
      <c r="E372" s="1"/>
    </row>
    <row r="373" spans="5:5" ht="9.75" customHeight="1" x14ac:dyDescent="0.15">
      <c r="E373" s="1"/>
    </row>
    <row r="374" spans="5:5" ht="9.75" customHeight="1" x14ac:dyDescent="0.15">
      <c r="E374" s="1"/>
    </row>
    <row r="375" spans="5:5" ht="9.75" customHeight="1" x14ac:dyDescent="0.15">
      <c r="E375" s="1"/>
    </row>
    <row r="376" spans="5:5" ht="9.75" customHeight="1" x14ac:dyDescent="0.15">
      <c r="E376" s="1"/>
    </row>
    <row r="377" spans="5:5" ht="9.75" customHeight="1" x14ac:dyDescent="0.15">
      <c r="E377" s="1"/>
    </row>
    <row r="378" spans="5:5" ht="9.75" customHeight="1" x14ac:dyDescent="0.15">
      <c r="E378" s="1"/>
    </row>
    <row r="379" spans="5:5" ht="9.75" customHeight="1" x14ac:dyDescent="0.15">
      <c r="E379" s="1"/>
    </row>
    <row r="380" spans="5:5" ht="9.75" customHeight="1" x14ac:dyDescent="0.15">
      <c r="E380" s="1"/>
    </row>
    <row r="381" spans="5:5" ht="9.75" customHeight="1" x14ac:dyDescent="0.15">
      <c r="E381" s="1"/>
    </row>
    <row r="382" spans="5:5" ht="9.75" customHeight="1" x14ac:dyDescent="0.15">
      <c r="E382" s="1"/>
    </row>
    <row r="383" spans="5:5" ht="9.75" customHeight="1" x14ac:dyDescent="0.15">
      <c r="E383" s="1"/>
    </row>
    <row r="384" spans="5:5" ht="9.75" customHeight="1" x14ac:dyDescent="0.15">
      <c r="E384" s="1"/>
    </row>
    <row r="385" spans="5:5" ht="9.75" customHeight="1" x14ac:dyDescent="0.15">
      <c r="E385" s="1"/>
    </row>
    <row r="386" spans="5:5" ht="9.75" customHeight="1" x14ac:dyDescent="0.15">
      <c r="E386" s="1"/>
    </row>
    <row r="387" spans="5:5" ht="9.75" customHeight="1" x14ac:dyDescent="0.15">
      <c r="E387" s="1"/>
    </row>
    <row r="388" spans="5:5" ht="9.75" customHeight="1" x14ac:dyDescent="0.15">
      <c r="E388" s="1"/>
    </row>
    <row r="389" spans="5:5" ht="9.75" customHeight="1" x14ac:dyDescent="0.15">
      <c r="E389" s="1"/>
    </row>
    <row r="390" spans="5:5" ht="9.75" customHeight="1" x14ac:dyDescent="0.15">
      <c r="E390" s="1"/>
    </row>
    <row r="391" spans="5:5" ht="9.75" customHeight="1" x14ac:dyDescent="0.15">
      <c r="E391" s="1"/>
    </row>
    <row r="392" spans="5:5" ht="9.75" customHeight="1" x14ac:dyDescent="0.15">
      <c r="E392" s="1"/>
    </row>
    <row r="393" spans="5:5" ht="9.75" customHeight="1" x14ac:dyDescent="0.15">
      <c r="E393" s="1"/>
    </row>
    <row r="394" spans="5:5" ht="9.75" customHeight="1" x14ac:dyDescent="0.15">
      <c r="E394" s="1"/>
    </row>
    <row r="395" spans="5:5" ht="9.75" customHeight="1" x14ac:dyDescent="0.15">
      <c r="E395" s="1"/>
    </row>
    <row r="396" spans="5:5" ht="9.75" customHeight="1" x14ac:dyDescent="0.15">
      <c r="E396" s="1"/>
    </row>
    <row r="397" spans="5:5" ht="9.75" customHeight="1" x14ac:dyDescent="0.15">
      <c r="E397" s="1"/>
    </row>
    <row r="398" spans="5:5" ht="9.75" customHeight="1" x14ac:dyDescent="0.15">
      <c r="E398" s="1"/>
    </row>
    <row r="399" spans="5:5" ht="9.75" customHeight="1" x14ac:dyDescent="0.15">
      <c r="E399" s="1"/>
    </row>
    <row r="400" spans="5:5" ht="9.75" customHeight="1" x14ac:dyDescent="0.15">
      <c r="E400" s="1"/>
    </row>
    <row r="401" spans="5:5" ht="9.75" customHeight="1" x14ac:dyDescent="0.15">
      <c r="E401" s="1"/>
    </row>
    <row r="402" spans="5:5" ht="9.75" customHeight="1" x14ac:dyDescent="0.15">
      <c r="E402" s="1"/>
    </row>
    <row r="403" spans="5:5" ht="9.75" customHeight="1" x14ac:dyDescent="0.15">
      <c r="E403" s="1"/>
    </row>
    <row r="404" spans="5:5" ht="9.75" customHeight="1" x14ac:dyDescent="0.15">
      <c r="E404" s="1"/>
    </row>
    <row r="405" spans="5:5" ht="9.75" customHeight="1" x14ac:dyDescent="0.15">
      <c r="E405" s="1"/>
    </row>
    <row r="406" spans="5:5" ht="9.75" customHeight="1" x14ac:dyDescent="0.15">
      <c r="E406" s="1"/>
    </row>
    <row r="407" spans="5:5" ht="9.75" customHeight="1" x14ac:dyDescent="0.15">
      <c r="E407" s="1"/>
    </row>
    <row r="408" spans="5:5" ht="9.75" customHeight="1" x14ac:dyDescent="0.15">
      <c r="E408" s="1"/>
    </row>
    <row r="409" spans="5:5" ht="9.75" customHeight="1" x14ac:dyDescent="0.15">
      <c r="E409" s="1"/>
    </row>
    <row r="410" spans="5:5" ht="9.75" customHeight="1" x14ac:dyDescent="0.15">
      <c r="E410" s="1"/>
    </row>
    <row r="411" spans="5:5" ht="9.75" customHeight="1" x14ac:dyDescent="0.15">
      <c r="E411" s="1"/>
    </row>
    <row r="412" spans="5:5" ht="9.75" customHeight="1" x14ac:dyDescent="0.15">
      <c r="E412" s="1"/>
    </row>
    <row r="413" spans="5:5" ht="9.75" customHeight="1" x14ac:dyDescent="0.15">
      <c r="E413" s="1"/>
    </row>
    <row r="414" spans="5:5" ht="9.75" customHeight="1" x14ac:dyDescent="0.15">
      <c r="E414" s="1"/>
    </row>
    <row r="415" spans="5:5" ht="9.75" customHeight="1" x14ac:dyDescent="0.15">
      <c r="E415" s="1"/>
    </row>
    <row r="416" spans="5:5" ht="9.75" customHeight="1" x14ac:dyDescent="0.15">
      <c r="E416" s="1"/>
    </row>
    <row r="417" spans="5:5" ht="9.75" customHeight="1" x14ac:dyDescent="0.15">
      <c r="E417" s="1"/>
    </row>
    <row r="418" spans="5:5" ht="9.75" customHeight="1" x14ac:dyDescent="0.15">
      <c r="E418" s="1"/>
    </row>
    <row r="419" spans="5:5" ht="9.75" customHeight="1" x14ac:dyDescent="0.15">
      <c r="E419" s="1"/>
    </row>
    <row r="420" spans="5:5" ht="9.75" customHeight="1" x14ac:dyDescent="0.15">
      <c r="E420" s="1"/>
    </row>
    <row r="421" spans="5:5" ht="9.75" customHeight="1" x14ac:dyDescent="0.15">
      <c r="E421" s="1"/>
    </row>
    <row r="422" spans="5:5" ht="9.75" customHeight="1" x14ac:dyDescent="0.15">
      <c r="E422" s="1"/>
    </row>
    <row r="423" spans="5:5" ht="9.75" customHeight="1" x14ac:dyDescent="0.15">
      <c r="E423" s="1"/>
    </row>
    <row r="424" spans="5:5" ht="9.75" customHeight="1" x14ac:dyDescent="0.15">
      <c r="E424" s="1"/>
    </row>
    <row r="425" spans="5:5" ht="9.75" customHeight="1" x14ac:dyDescent="0.15">
      <c r="E425" s="1"/>
    </row>
    <row r="426" spans="5:5" ht="9.75" customHeight="1" x14ac:dyDescent="0.15">
      <c r="E426" s="1"/>
    </row>
    <row r="427" spans="5:5" ht="9.75" customHeight="1" x14ac:dyDescent="0.15">
      <c r="E427" s="1"/>
    </row>
    <row r="428" spans="5:5" ht="9.75" customHeight="1" x14ac:dyDescent="0.15">
      <c r="E428" s="1"/>
    </row>
    <row r="429" spans="5:5" ht="9.75" customHeight="1" x14ac:dyDescent="0.15">
      <c r="E429" s="1"/>
    </row>
    <row r="430" spans="5:5" ht="9.75" customHeight="1" x14ac:dyDescent="0.15">
      <c r="E430" s="1"/>
    </row>
    <row r="431" spans="5:5" ht="9.75" customHeight="1" x14ac:dyDescent="0.15">
      <c r="E431" s="1"/>
    </row>
    <row r="432" spans="5:5" ht="9.75" customHeight="1" x14ac:dyDescent="0.15">
      <c r="E432" s="1"/>
    </row>
    <row r="433" spans="5:5" ht="9.75" customHeight="1" x14ac:dyDescent="0.15">
      <c r="E433" s="1"/>
    </row>
    <row r="434" spans="5:5" ht="9.75" customHeight="1" x14ac:dyDescent="0.15">
      <c r="E434" s="1"/>
    </row>
    <row r="435" spans="5:5" ht="9.75" customHeight="1" x14ac:dyDescent="0.15">
      <c r="E435" s="1"/>
    </row>
    <row r="436" spans="5:5" ht="9.75" customHeight="1" x14ac:dyDescent="0.15">
      <c r="E436" s="1"/>
    </row>
    <row r="437" spans="5:5" ht="9.75" customHeight="1" x14ac:dyDescent="0.15">
      <c r="E437" s="1"/>
    </row>
    <row r="438" spans="5:5" ht="9.75" customHeight="1" x14ac:dyDescent="0.15">
      <c r="E438" s="1"/>
    </row>
    <row r="439" spans="5:5" ht="9.75" customHeight="1" x14ac:dyDescent="0.15">
      <c r="E439" s="1"/>
    </row>
    <row r="440" spans="5:5" ht="9.75" customHeight="1" x14ac:dyDescent="0.15">
      <c r="E440" s="1"/>
    </row>
    <row r="441" spans="5:5" ht="9.75" customHeight="1" x14ac:dyDescent="0.15">
      <c r="E441" s="1"/>
    </row>
    <row r="442" spans="5:5" ht="9.75" customHeight="1" x14ac:dyDescent="0.15">
      <c r="E442" s="1"/>
    </row>
    <row r="443" spans="5:5" ht="9.75" customHeight="1" x14ac:dyDescent="0.15">
      <c r="E443" s="1"/>
    </row>
    <row r="444" spans="5:5" ht="9.75" customHeight="1" x14ac:dyDescent="0.15">
      <c r="E444" s="1"/>
    </row>
    <row r="445" spans="5:5" ht="9.75" customHeight="1" x14ac:dyDescent="0.15">
      <c r="E445" s="1"/>
    </row>
    <row r="446" spans="5:5" ht="9.75" customHeight="1" x14ac:dyDescent="0.15">
      <c r="E446" s="1"/>
    </row>
    <row r="447" spans="5:5" ht="9.75" customHeight="1" x14ac:dyDescent="0.15">
      <c r="E447" s="1"/>
    </row>
    <row r="448" spans="5:5" ht="9.75" customHeight="1" x14ac:dyDescent="0.15">
      <c r="E448" s="1"/>
    </row>
    <row r="449" spans="5:5" ht="9.75" customHeight="1" x14ac:dyDescent="0.15">
      <c r="E449" s="1"/>
    </row>
    <row r="450" spans="5:5" ht="9.75" customHeight="1" x14ac:dyDescent="0.15">
      <c r="E450" s="1"/>
    </row>
    <row r="451" spans="5:5" ht="9.75" customHeight="1" x14ac:dyDescent="0.15">
      <c r="E451" s="1"/>
    </row>
    <row r="452" spans="5:5" ht="9.75" customHeight="1" x14ac:dyDescent="0.15">
      <c r="E452" s="1"/>
    </row>
    <row r="453" spans="5:5" ht="9.75" customHeight="1" x14ac:dyDescent="0.15">
      <c r="E453" s="1"/>
    </row>
    <row r="454" spans="5:5" ht="9.75" customHeight="1" x14ac:dyDescent="0.15">
      <c r="E454" s="1"/>
    </row>
    <row r="455" spans="5:5" ht="9.75" customHeight="1" x14ac:dyDescent="0.15">
      <c r="E455" s="1"/>
    </row>
    <row r="456" spans="5:5" ht="9.75" customHeight="1" x14ac:dyDescent="0.15">
      <c r="E456" s="1"/>
    </row>
    <row r="457" spans="5:5" ht="9.75" customHeight="1" x14ac:dyDescent="0.15">
      <c r="E457" s="1"/>
    </row>
    <row r="458" spans="5:5" ht="9.75" customHeight="1" x14ac:dyDescent="0.15">
      <c r="E458" s="1"/>
    </row>
    <row r="459" spans="5:5" ht="9.75" customHeight="1" x14ac:dyDescent="0.15">
      <c r="E459" s="1"/>
    </row>
    <row r="460" spans="5:5" ht="9.75" customHeight="1" x14ac:dyDescent="0.15">
      <c r="E460" s="1"/>
    </row>
    <row r="461" spans="5:5" ht="9.75" customHeight="1" x14ac:dyDescent="0.15">
      <c r="E461" s="1"/>
    </row>
    <row r="462" spans="5:5" ht="9.75" customHeight="1" x14ac:dyDescent="0.15">
      <c r="E462" s="1"/>
    </row>
    <row r="463" spans="5:5" ht="9.75" customHeight="1" x14ac:dyDescent="0.15">
      <c r="E463" s="1"/>
    </row>
    <row r="464" spans="5:5" ht="9.75" customHeight="1" x14ac:dyDescent="0.15">
      <c r="E464" s="1"/>
    </row>
    <row r="465" spans="5:5" ht="9.75" customHeight="1" x14ac:dyDescent="0.15">
      <c r="E465" s="1"/>
    </row>
    <row r="466" spans="5:5" ht="9.75" customHeight="1" x14ac:dyDescent="0.15">
      <c r="E466" s="1"/>
    </row>
    <row r="467" spans="5:5" ht="9.75" customHeight="1" x14ac:dyDescent="0.15">
      <c r="E467" s="1"/>
    </row>
    <row r="468" spans="5:5" ht="9.75" customHeight="1" x14ac:dyDescent="0.15">
      <c r="E468" s="1"/>
    </row>
    <row r="469" spans="5:5" ht="9.75" customHeight="1" x14ac:dyDescent="0.15">
      <c r="E469" s="1"/>
    </row>
    <row r="470" spans="5:5" ht="9.75" customHeight="1" x14ac:dyDescent="0.15">
      <c r="E470" s="1"/>
    </row>
    <row r="471" spans="5:5" ht="9.75" customHeight="1" x14ac:dyDescent="0.15">
      <c r="E471" s="1"/>
    </row>
    <row r="472" spans="5:5" ht="9.75" customHeight="1" x14ac:dyDescent="0.15">
      <c r="E472" s="1"/>
    </row>
    <row r="473" spans="5:5" ht="9.75" customHeight="1" x14ac:dyDescent="0.15">
      <c r="E473" s="1"/>
    </row>
    <row r="474" spans="5:5" ht="9.75" customHeight="1" x14ac:dyDescent="0.15">
      <c r="E474" s="1"/>
    </row>
    <row r="475" spans="5:5" ht="9.75" customHeight="1" x14ac:dyDescent="0.15">
      <c r="E475" s="1"/>
    </row>
    <row r="476" spans="5:5" ht="9.75" customHeight="1" x14ac:dyDescent="0.15">
      <c r="E476" s="1"/>
    </row>
    <row r="477" spans="5:5" ht="9.75" customHeight="1" x14ac:dyDescent="0.15">
      <c r="E477" s="1"/>
    </row>
    <row r="478" spans="5:5" ht="9.75" customHeight="1" x14ac:dyDescent="0.15">
      <c r="E478" s="1"/>
    </row>
    <row r="479" spans="5:5" ht="9.75" customHeight="1" x14ac:dyDescent="0.15">
      <c r="E479" s="1"/>
    </row>
    <row r="480" spans="5:5" ht="9.75" customHeight="1" x14ac:dyDescent="0.15">
      <c r="E480" s="1"/>
    </row>
    <row r="481" spans="5:5" ht="9.75" customHeight="1" x14ac:dyDescent="0.15">
      <c r="E481" s="1"/>
    </row>
    <row r="482" spans="5:5" ht="9.75" customHeight="1" x14ac:dyDescent="0.15">
      <c r="E482" s="1"/>
    </row>
    <row r="483" spans="5:5" ht="9.75" customHeight="1" x14ac:dyDescent="0.15">
      <c r="E483" s="1"/>
    </row>
    <row r="484" spans="5:5" ht="9.75" customHeight="1" x14ac:dyDescent="0.15">
      <c r="E484" s="1"/>
    </row>
    <row r="485" spans="5:5" ht="9.75" customHeight="1" x14ac:dyDescent="0.15">
      <c r="E485" s="1"/>
    </row>
    <row r="486" spans="5:5" ht="9.75" customHeight="1" x14ac:dyDescent="0.15">
      <c r="E486" s="1"/>
    </row>
    <row r="487" spans="5:5" ht="9.75" customHeight="1" x14ac:dyDescent="0.15">
      <c r="E487" s="1"/>
    </row>
    <row r="488" spans="5:5" ht="9.75" customHeight="1" x14ac:dyDescent="0.15">
      <c r="E488" s="1"/>
    </row>
    <row r="489" spans="5:5" ht="9.75" customHeight="1" x14ac:dyDescent="0.15">
      <c r="E489" s="1"/>
    </row>
    <row r="490" spans="5:5" ht="9.75" customHeight="1" x14ac:dyDescent="0.15">
      <c r="E490" s="1"/>
    </row>
    <row r="491" spans="5:5" ht="9.75" customHeight="1" x14ac:dyDescent="0.15">
      <c r="E491" s="1"/>
    </row>
    <row r="492" spans="5:5" ht="9.75" customHeight="1" x14ac:dyDescent="0.15">
      <c r="E492" s="1"/>
    </row>
    <row r="493" spans="5:5" ht="9.75" customHeight="1" x14ac:dyDescent="0.15">
      <c r="E493" s="1"/>
    </row>
    <row r="494" spans="5:5" ht="9.75" customHeight="1" x14ac:dyDescent="0.15">
      <c r="E494" s="1"/>
    </row>
    <row r="495" spans="5:5" ht="9.75" customHeight="1" x14ac:dyDescent="0.15">
      <c r="E495" s="1"/>
    </row>
    <row r="496" spans="5:5" ht="9.75" customHeight="1" x14ac:dyDescent="0.15">
      <c r="E496" s="1"/>
    </row>
    <row r="497" spans="5:5" ht="9.75" customHeight="1" x14ac:dyDescent="0.15">
      <c r="E497" s="1"/>
    </row>
    <row r="498" spans="5:5" ht="9.75" customHeight="1" x14ac:dyDescent="0.15">
      <c r="E498" s="1"/>
    </row>
    <row r="499" spans="5:5" ht="9.75" customHeight="1" x14ac:dyDescent="0.15">
      <c r="E499" s="1"/>
    </row>
    <row r="500" spans="5:5" ht="9.75" customHeight="1" x14ac:dyDescent="0.15">
      <c r="E500" s="1"/>
    </row>
    <row r="501" spans="5:5" ht="9.75" customHeight="1" x14ac:dyDescent="0.15">
      <c r="E501" s="1"/>
    </row>
    <row r="502" spans="5:5" ht="9.75" customHeight="1" x14ac:dyDescent="0.15">
      <c r="E502" s="1"/>
    </row>
    <row r="503" spans="5:5" ht="9.75" customHeight="1" x14ac:dyDescent="0.15">
      <c r="E503" s="1"/>
    </row>
    <row r="504" spans="5:5" ht="9.75" customHeight="1" x14ac:dyDescent="0.15">
      <c r="E504" s="1"/>
    </row>
    <row r="505" spans="5:5" ht="9.75" customHeight="1" x14ac:dyDescent="0.15">
      <c r="E505" s="1"/>
    </row>
    <row r="506" spans="5:5" ht="9.75" customHeight="1" x14ac:dyDescent="0.15">
      <c r="E506" s="1"/>
    </row>
    <row r="507" spans="5:5" ht="9.75" customHeight="1" x14ac:dyDescent="0.15">
      <c r="E507" s="1"/>
    </row>
    <row r="508" spans="5:5" ht="9.75" customHeight="1" x14ac:dyDescent="0.15">
      <c r="E508" s="1"/>
    </row>
    <row r="509" spans="5:5" ht="9.75" customHeight="1" x14ac:dyDescent="0.15">
      <c r="E509" s="1"/>
    </row>
    <row r="510" spans="5:5" ht="9.75" customHeight="1" x14ac:dyDescent="0.15">
      <c r="E510" s="1"/>
    </row>
    <row r="511" spans="5:5" ht="9.75" customHeight="1" x14ac:dyDescent="0.15">
      <c r="E511" s="1"/>
    </row>
    <row r="512" spans="5:5" ht="9.75" customHeight="1" x14ac:dyDescent="0.15">
      <c r="E512" s="1"/>
    </row>
    <row r="513" spans="5:5" ht="9.75" customHeight="1" x14ac:dyDescent="0.15">
      <c r="E513" s="1"/>
    </row>
    <row r="514" spans="5:5" ht="9.75" customHeight="1" x14ac:dyDescent="0.15">
      <c r="E514" s="1"/>
    </row>
    <row r="515" spans="5:5" ht="9.75" customHeight="1" x14ac:dyDescent="0.15">
      <c r="E515" s="1"/>
    </row>
    <row r="516" spans="5:5" ht="9.75" customHeight="1" x14ac:dyDescent="0.15">
      <c r="E516" s="1"/>
    </row>
    <row r="517" spans="5:5" ht="9.75" customHeight="1" x14ac:dyDescent="0.15">
      <c r="E517" s="1"/>
    </row>
    <row r="518" spans="5:5" ht="9.75" customHeight="1" x14ac:dyDescent="0.15">
      <c r="E518" s="1"/>
    </row>
    <row r="519" spans="5:5" ht="9.75" customHeight="1" x14ac:dyDescent="0.15">
      <c r="E519" s="1"/>
    </row>
    <row r="520" spans="5:5" ht="9.75" customHeight="1" x14ac:dyDescent="0.15">
      <c r="E520" s="1"/>
    </row>
    <row r="521" spans="5:5" ht="9.75" customHeight="1" x14ac:dyDescent="0.15">
      <c r="E521" s="1"/>
    </row>
    <row r="522" spans="5:5" ht="9.75" customHeight="1" x14ac:dyDescent="0.15">
      <c r="E522" s="1"/>
    </row>
    <row r="523" spans="5:5" ht="9.75" customHeight="1" x14ac:dyDescent="0.15">
      <c r="E523" s="1"/>
    </row>
    <row r="524" spans="5:5" ht="9.75" customHeight="1" x14ac:dyDescent="0.15">
      <c r="E524" s="1"/>
    </row>
    <row r="525" spans="5:5" ht="9.75" customHeight="1" x14ac:dyDescent="0.15">
      <c r="E525" s="1"/>
    </row>
    <row r="526" spans="5:5" ht="9.75" customHeight="1" x14ac:dyDescent="0.15">
      <c r="E526" s="1"/>
    </row>
    <row r="527" spans="5:5" ht="9.75" customHeight="1" x14ac:dyDescent="0.15">
      <c r="E527" s="1"/>
    </row>
    <row r="528" spans="5:5" ht="9.75" customHeight="1" x14ac:dyDescent="0.15">
      <c r="E528" s="1"/>
    </row>
    <row r="529" spans="5:5" ht="9.75" customHeight="1" x14ac:dyDescent="0.15">
      <c r="E529" s="1"/>
    </row>
    <row r="530" spans="5:5" ht="9.75" customHeight="1" x14ac:dyDescent="0.15">
      <c r="E530" s="1"/>
    </row>
    <row r="531" spans="5:5" ht="9.75" customHeight="1" x14ac:dyDescent="0.15">
      <c r="E531" s="1"/>
    </row>
    <row r="532" spans="5:5" ht="9.75" customHeight="1" x14ac:dyDescent="0.15">
      <c r="E532" s="1"/>
    </row>
    <row r="533" spans="5:5" ht="9.75" customHeight="1" x14ac:dyDescent="0.15">
      <c r="E533" s="1"/>
    </row>
    <row r="534" spans="5:5" ht="9.75" customHeight="1" x14ac:dyDescent="0.15">
      <c r="E534" s="1"/>
    </row>
    <row r="535" spans="5:5" ht="9.75" customHeight="1" x14ac:dyDescent="0.15">
      <c r="E535" s="1"/>
    </row>
    <row r="536" spans="5:5" ht="9.75" customHeight="1" x14ac:dyDescent="0.15">
      <c r="E536" s="1"/>
    </row>
    <row r="537" spans="5:5" ht="9.75" customHeight="1" x14ac:dyDescent="0.15">
      <c r="E537" s="1"/>
    </row>
    <row r="538" spans="5:5" ht="9.75" customHeight="1" x14ac:dyDescent="0.15">
      <c r="E538" s="1"/>
    </row>
    <row r="539" spans="5:5" ht="9.75" customHeight="1" x14ac:dyDescent="0.15">
      <c r="E539" s="1"/>
    </row>
    <row r="540" spans="5:5" ht="9.75" customHeight="1" x14ac:dyDescent="0.15">
      <c r="E540" s="1"/>
    </row>
    <row r="541" spans="5:5" ht="9.75" customHeight="1" x14ac:dyDescent="0.15">
      <c r="E541" s="1"/>
    </row>
    <row r="542" spans="5:5" ht="9.75" customHeight="1" x14ac:dyDescent="0.15">
      <c r="E542" s="1"/>
    </row>
    <row r="543" spans="5:5" ht="9.75" customHeight="1" x14ac:dyDescent="0.15">
      <c r="E543" s="1"/>
    </row>
    <row r="544" spans="5:5" ht="9.75" customHeight="1" x14ac:dyDescent="0.15">
      <c r="E544" s="1"/>
    </row>
    <row r="545" spans="5:5" ht="9.75" customHeight="1" x14ac:dyDescent="0.15">
      <c r="E545" s="1"/>
    </row>
    <row r="546" spans="5:5" ht="9.75" customHeight="1" x14ac:dyDescent="0.15">
      <c r="E546" s="1"/>
    </row>
    <row r="547" spans="5:5" ht="9.75" customHeight="1" x14ac:dyDescent="0.15">
      <c r="E547" s="1"/>
    </row>
    <row r="548" spans="5:5" ht="9.75" customHeight="1" x14ac:dyDescent="0.15">
      <c r="E548" s="1"/>
    </row>
    <row r="549" spans="5:5" ht="9.75" customHeight="1" x14ac:dyDescent="0.15">
      <c r="E549" s="1"/>
    </row>
    <row r="550" spans="5:5" ht="9.75" customHeight="1" x14ac:dyDescent="0.15">
      <c r="E550" s="1"/>
    </row>
    <row r="551" spans="5:5" ht="9.75" customHeight="1" x14ac:dyDescent="0.15">
      <c r="E551" s="1"/>
    </row>
    <row r="552" spans="5:5" ht="9.75" customHeight="1" x14ac:dyDescent="0.15">
      <c r="E552" s="1"/>
    </row>
    <row r="553" spans="5:5" ht="9.75" customHeight="1" x14ac:dyDescent="0.15">
      <c r="E553" s="1"/>
    </row>
    <row r="554" spans="5:5" ht="9.75" customHeight="1" x14ac:dyDescent="0.15">
      <c r="E554" s="1"/>
    </row>
    <row r="555" spans="5:5" ht="9.75" customHeight="1" x14ac:dyDescent="0.15">
      <c r="E555" s="1"/>
    </row>
    <row r="556" spans="5:5" ht="9.75" customHeight="1" x14ac:dyDescent="0.15">
      <c r="E556" s="1"/>
    </row>
    <row r="557" spans="5:5" ht="9.75" customHeight="1" x14ac:dyDescent="0.15">
      <c r="E557" s="1"/>
    </row>
    <row r="558" spans="5:5" ht="9.75" customHeight="1" x14ac:dyDescent="0.15">
      <c r="E558" s="1"/>
    </row>
    <row r="559" spans="5:5" ht="9.75" customHeight="1" x14ac:dyDescent="0.15">
      <c r="E559" s="1"/>
    </row>
    <row r="560" spans="5:5" ht="9.75" customHeight="1" x14ac:dyDescent="0.15">
      <c r="E560" s="1"/>
    </row>
    <row r="561" spans="5:5" ht="9.75" customHeight="1" x14ac:dyDescent="0.15">
      <c r="E561" s="1"/>
    </row>
    <row r="562" spans="5:5" ht="9.75" customHeight="1" x14ac:dyDescent="0.15">
      <c r="E562" s="1"/>
    </row>
    <row r="563" spans="5:5" ht="9.75" customHeight="1" x14ac:dyDescent="0.15">
      <c r="E563" s="1"/>
    </row>
    <row r="564" spans="5:5" ht="9.75" customHeight="1" x14ac:dyDescent="0.15">
      <c r="E564" s="1"/>
    </row>
    <row r="565" spans="5:5" ht="9.75" customHeight="1" x14ac:dyDescent="0.15">
      <c r="E565" s="1"/>
    </row>
    <row r="566" spans="5:5" ht="9.75" customHeight="1" x14ac:dyDescent="0.15">
      <c r="E566" s="1"/>
    </row>
    <row r="567" spans="5:5" ht="9.75" customHeight="1" x14ac:dyDescent="0.15">
      <c r="E567" s="1"/>
    </row>
    <row r="568" spans="5:5" ht="9.75" customHeight="1" x14ac:dyDescent="0.15">
      <c r="E568" s="1"/>
    </row>
    <row r="569" spans="5:5" ht="9.75" customHeight="1" x14ac:dyDescent="0.15">
      <c r="E569" s="1"/>
    </row>
    <row r="570" spans="5:5" ht="9.75" customHeight="1" x14ac:dyDescent="0.15">
      <c r="E570" s="1"/>
    </row>
    <row r="571" spans="5:5" ht="9.75" customHeight="1" x14ac:dyDescent="0.15">
      <c r="E571" s="1"/>
    </row>
    <row r="572" spans="5:5" ht="9.75" customHeight="1" x14ac:dyDescent="0.15">
      <c r="E572" s="1"/>
    </row>
    <row r="573" spans="5:5" ht="9.75" customHeight="1" x14ac:dyDescent="0.15">
      <c r="E573" s="1"/>
    </row>
    <row r="574" spans="5:5" ht="9.75" customHeight="1" x14ac:dyDescent="0.15">
      <c r="E574" s="1"/>
    </row>
    <row r="575" spans="5:5" ht="9.75" customHeight="1" x14ac:dyDescent="0.15">
      <c r="E575" s="1"/>
    </row>
    <row r="576" spans="5:5" ht="9.75" customHeight="1" x14ac:dyDescent="0.15">
      <c r="E576" s="1"/>
    </row>
    <row r="577" spans="5:5" ht="9.75" customHeight="1" x14ac:dyDescent="0.15">
      <c r="E577" s="1"/>
    </row>
    <row r="578" spans="5:5" ht="9.75" customHeight="1" x14ac:dyDescent="0.15">
      <c r="E578" s="1"/>
    </row>
    <row r="579" spans="5:5" ht="9.75" customHeight="1" x14ac:dyDescent="0.15">
      <c r="E579" s="1"/>
    </row>
    <row r="580" spans="5:5" ht="9.75" customHeight="1" x14ac:dyDescent="0.15">
      <c r="E580" s="1"/>
    </row>
    <row r="581" spans="5:5" ht="9.75" customHeight="1" x14ac:dyDescent="0.15">
      <c r="E581" s="1"/>
    </row>
    <row r="582" spans="5:5" ht="9.75" customHeight="1" x14ac:dyDescent="0.15">
      <c r="E582" s="1"/>
    </row>
    <row r="583" spans="5:5" ht="9.75" customHeight="1" x14ac:dyDescent="0.15">
      <c r="E583" s="1"/>
    </row>
    <row r="584" spans="5:5" ht="9.75" customHeight="1" x14ac:dyDescent="0.15">
      <c r="E584" s="1"/>
    </row>
    <row r="585" spans="5:5" ht="9.75" customHeight="1" x14ac:dyDescent="0.15">
      <c r="E585" s="1"/>
    </row>
    <row r="586" spans="5:5" ht="9.75" customHeight="1" x14ac:dyDescent="0.15">
      <c r="E586" s="1"/>
    </row>
    <row r="587" spans="5:5" ht="9.75" customHeight="1" x14ac:dyDescent="0.15">
      <c r="E587" s="1"/>
    </row>
    <row r="588" spans="5:5" ht="9.75" customHeight="1" x14ac:dyDescent="0.15">
      <c r="E588" s="1"/>
    </row>
    <row r="589" spans="5:5" ht="9.75" customHeight="1" x14ac:dyDescent="0.15">
      <c r="E589" s="1"/>
    </row>
    <row r="590" spans="5:5" ht="9.75" customHeight="1" x14ac:dyDescent="0.15">
      <c r="E590" s="1"/>
    </row>
    <row r="591" spans="5:5" ht="9.75" customHeight="1" x14ac:dyDescent="0.15">
      <c r="E591" s="1"/>
    </row>
    <row r="592" spans="5:5" ht="9.75" customHeight="1" x14ac:dyDescent="0.15">
      <c r="E592" s="1"/>
    </row>
    <row r="593" spans="5:5" ht="9.75" customHeight="1" x14ac:dyDescent="0.15">
      <c r="E593" s="1"/>
    </row>
    <row r="594" spans="5:5" ht="9.75" customHeight="1" x14ac:dyDescent="0.15">
      <c r="E594" s="1"/>
    </row>
    <row r="595" spans="5:5" ht="9.75" customHeight="1" x14ac:dyDescent="0.15">
      <c r="E595" s="1"/>
    </row>
    <row r="596" spans="5:5" ht="9.75" customHeight="1" x14ac:dyDescent="0.15">
      <c r="E596" s="1"/>
    </row>
    <row r="597" spans="5:5" ht="9.75" customHeight="1" x14ac:dyDescent="0.15">
      <c r="E597" s="1"/>
    </row>
    <row r="598" spans="5:5" ht="9.75" customHeight="1" x14ac:dyDescent="0.15">
      <c r="E598" s="1"/>
    </row>
    <row r="599" spans="5:5" ht="9.75" customHeight="1" x14ac:dyDescent="0.15">
      <c r="E599" s="1"/>
    </row>
    <row r="600" spans="5:5" ht="9.75" customHeight="1" x14ac:dyDescent="0.15">
      <c r="E600" s="1"/>
    </row>
    <row r="601" spans="5:5" ht="9.75" customHeight="1" x14ac:dyDescent="0.15">
      <c r="E601" s="1"/>
    </row>
    <row r="602" spans="5:5" ht="9.75" customHeight="1" x14ac:dyDescent="0.15">
      <c r="E602" s="1"/>
    </row>
    <row r="603" spans="5:5" ht="9.75" customHeight="1" x14ac:dyDescent="0.15">
      <c r="E603" s="1"/>
    </row>
    <row r="604" spans="5:5" ht="9.75" customHeight="1" x14ac:dyDescent="0.15">
      <c r="E604" s="1"/>
    </row>
    <row r="605" spans="5:5" ht="9.75" customHeight="1" x14ac:dyDescent="0.15">
      <c r="E605" s="1"/>
    </row>
    <row r="606" spans="5:5" ht="9.75" customHeight="1" x14ac:dyDescent="0.15">
      <c r="E606" s="1"/>
    </row>
    <row r="607" spans="5:5" ht="9.75" customHeight="1" x14ac:dyDescent="0.15">
      <c r="E607" s="1"/>
    </row>
    <row r="608" spans="5:5" ht="9.75" customHeight="1" x14ac:dyDescent="0.15">
      <c r="E608" s="1"/>
    </row>
    <row r="609" spans="5:5" ht="9.75" customHeight="1" x14ac:dyDescent="0.15">
      <c r="E609" s="1"/>
    </row>
    <row r="610" spans="5:5" ht="9.75" customHeight="1" x14ac:dyDescent="0.15">
      <c r="E610" s="1"/>
    </row>
    <row r="611" spans="5:5" ht="9.75" customHeight="1" x14ac:dyDescent="0.15">
      <c r="E611" s="1"/>
    </row>
    <row r="612" spans="5:5" ht="9.75" customHeight="1" x14ac:dyDescent="0.15">
      <c r="E612" s="1"/>
    </row>
    <row r="613" spans="5:5" ht="9.75" customHeight="1" x14ac:dyDescent="0.15">
      <c r="E613" s="1"/>
    </row>
    <row r="614" spans="5:5" ht="9.75" customHeight="1" x14ac:dyDescent="0.15">
      <c r="E614" s="1"/>
    </row>
    <row r="615" spans="5:5" ht="9.75" customHeight="1" x14ac:dyDescent="0.15">
      <c r="E615" s="1"/>
    </row>
    <row r="616" spans="5:5" ht="9.75" customHeight="1" x14ac:dyDescent="0.15">
      <c r="E616" s="1"/>
    </row>
    <row r="617" spans="5:5" ht="9.75" customHeight="1" x14ac:dyDescent="0.15">
      <c r="E617" s="1"/>
    </row>
    <row r="618" spans="5:5" ht="9.75" customHeight="1" x14ac:dyDescent="0.15">
      <c r="E618" s="1"/>
    </row>
    <row r="619" spans="5:5" ht="9.75" customHeight="1" x14ac:dyDescent="0.15">
      <c r="E619" s="1"/>
    </row>
    <row r="620" spans="5:5" ht="9.75" customHeight="1" x14ac:dyDescent="0.15">
      <c r="E620" s="1"/>
    </row>
    <row r="621" spans="5:5" ht="9.75" customHeight="1" x14ac:dyDescent="0.15">
      <c r="E621" s="1"/>
    </row>
    <row r="622" spans="5:5" ht="9.75" customHeight="1" x14ac:dyDescent="0.15">
      <c r="E622" s="1"/>
    </row>
    <row r="623" spans="5:5" ht="9.75" customHeight="1" x14ac:dyDescent="0.15">
      <c r="E623" s="1"/>
    </row>
    <row r="624" spans="5:5" ht="9.75" customHeight="1" x14ac:dyDescent="0.15">
      <c r="E624" s="1"/>
    </row>
    <row r="625" spans="5:5" ht="9.75" customHeight="1" x14ac:dyDescent="0.15">
      <c r="E625" s="1"/>
    </row>
    <row r="626" spans="5:5" ht="9.75" customHeight="1" x14ac:dyDescent="0.15">
      <c r="E626" s="1"/>
    </row>
    <row r="627" spans="5:5" ht="9.75" customHeight="1" x14ac:dyDescent="0.15">
      <c r="E627" s="1"/>
    </row>
    <row r="628" spans="5:5" ht="9.75" customHeight="1" x14ac:dyDescent="0.15">
      <c r="E628" s="1"/>
    </row>
    <row r="629" spans="5:5" ht="9.75" customHeight="1" x14ac:dyDescent="0.15">
      <c r="E629" s="1"/>
    </row>
    <row r="630" spans="5:5" ht="9.75" customHeight="1" x14ac:dyDescent="0.15">
      <c r="E630" s="1"/>
    </row>
    <row r="631" spans="5:5" ht="9.75" customHeight="1" x14ac:dyDescent="0.15">
      <c r="E631" s="1"/>
    </row>
    <row r="632" spans="5:5" ht="9.75" customHeight="1" x14ac:dyDescent="0.15">
      <c r="E632" s="1"/>
    </row>
    <row r="633" spans="5:5" ht="9.75" customHeight="1" x14ac:dyDescent="0.15">
      <c r="E633" s="1"/>
    </row>
    <row r="634" spans="5:5" ht="9.75" customHeight="1" x14ac:dyDescent="0.15">
      <c r="E634" s="1"/>
    </row>
    <row r="635" spans="5:5" ht="9.75" customHeight="1" x14ac:dyDescent="0.15">
      <c r="E635" s="1"/>
    </row>
    <row r="636" spans="5:5" ht="9.75" customHeight="1" x14ac:dyDescent="0.15">
      <c r="E636" s="1"/>
    </row>
    <row r="637" spans="5:5" ht="9.75" customHeight="1" x14ac:dyDescent="0.15">
      <c r="E637" s="1"/>
    </row>
    <row r="638" spans="5:5" ht="9.75" customHeight="1" x14ac:dyDescent="0.15">
      <c r="E638" s="1"/>
    </row>
    <row r="639" spans="5:5" ht="9.75" customHeight="1" x14ac:dyDescent="0.15">
      <c r="E639" s="1"/>
    </row>
    <row r="640" spans="5:5" ht="9.75" customHeight="1" x14ac:dyDescent="0.15">
      <c r="E640" s="1"/>
    </row>
    <row r="641" spans="5:5" ht="9.75" customHeight="1" x14ac:dyDescent="0.15">
      <c r="E641" s="1"/>
    </row>
    <row r="642" spans="5:5" ht="9.75" customHeight="1" x14ac:dyDescent="0.15">
      <c r="E642" s="1"/>
    </row>
    <row r="643" spans="5:5" ht="9.75" customHeight="1" x14ac:dyDescent="0.15">
      <c r="E643" s="1"/>
    </row>
    <row r="644" spans="5:5" ht="9.75" customHeight="1" x14ac:dyDescent="0.15">
      <c r="E644" s="1"/>
    </row>
    <row r="645" spans="5:5" ht="9.75" customHeight="1" x14ac:dyDescent="0.15">
      <c r="E645" s="1"/>
    </row>
    <row r="646" spans="5:5" ht="9.75" customHeight="1" x14ac:dyDescent="0.15">
      <c r="E646" s="1"/>
    </row>
    <row r="647" spans="5:5" ht="9.75" customHeight="1" x14ac:dyDescent="0.15">
      <c r="E647" s="1"/>
    </row>
    <row r="648" spans="5:5" ht="9.75" customHeight="1" x14ac:dyDescent="0.15">
      <c r="E648" s="1"/>
    </row>
    <row r="649" spans="5:5" ht="9.75" customHeight="1" x14ac:dyDescent="0.15">
      <c r="E649" s="1"/>
    </row>
    <row r="650" spans="5:5" ht="9.75" customHeight="1" x14ac:dyDescent="0.15">
      <c r="E650" s="1"/>
    </row>
    <row r="651" spans="5:5" ht="9.75" customHeight="1" x14ac:dyDescent="0.15">
      <c r="E651" s="1"/>
    </row>
    <row r="652" spans="5:5" ht="9.75" customHeight="1" x14ac:dyDescent="0.15">
      <c r="E652" s="1"/>
    </row>
    <row r="653" spans="5:5" ht="9.75" customHeight="1" x14ac:dyDescent="0.15">
      <c r="E653" s="1"/>
    </row>
    <row r="654" spans="5:5" ht="9.75" customHeight="1" x14ac:dyDescent="0.15">
      <c r="E654" s="1"/>
    </row>
    <row r="655" spans="5:5" ht="9.75" customHeight="1" x14ac:dyDescent="0.15">
      <c r="E655" s="1"/>
    </row>
    <row r="656" spans="5:5" ht="9.75" customHeight="1" x14ac:dyDescent="0.15">
      <c r="E656" s="1"/>
    </row>
    <row r="657" spans="5:5" ht="9.75" customHeight="1" x14ac:dyDescent="0.15">
      <c r="E657" s="1"/>
    </row>
    <row r="658" spans="5:5" ht="9.75" customHeight="1" x14ac:dyDescent="0.15">
      <c r="E658" s="1"/>
    </row>
    <row r="659" spans="5:5" ht="9.75" customHeight="1" x14ac:dyDescent="0.15">
      <c r="E659" s="1"/>
    </row>
    <row r="660" spans="5:5" ht="9.75" customHeight="1" x14ac:dyDescent="0.15">
      <c r="E660" s="1"/>
    </row>
    <row r="661" spans="5:5" ht="9.75" customHeight="1" x14ac:dyDescent="0.15">
      <c r="E661" s="1"/>
    </row>
    <row r="662" spans="5:5" ht="9.75" customHeight="1" x14ac:dyDescent="0.15">
      <c r="E662" s="1"/>
    </row>
    <row r="663" spans="5:5" ht="9.75" customHeight="1" x14ac:dyDescent="0.15">
      <c r="E663" s="1"/>
    </row>
    <row r="664" spans="5:5" ht="9.75" customHeight="1" x14ac:dyDescent="0.15">
      <c r="E664" s="1"/>
    </row>
    <row r="665" spans="5:5" ht="9.75" customHeight="1" x14ac:dyDescent="0.15">
      <c r="E665" s="1"/>
    </row>
    <row r="666" spans="5:5" ht="9.75" customHeight="1" x14ac:dyDescent="0.15">
      <c r="E666" s="1"/>
    </row>
    <row r="667" spans="5:5" ht="9.75" customHeight="1" x14ac:dyDescent="0.15">
      <c r="E667" s="1"/>
    </row>
    <row r="668" spans="5:5" ht="9.75" customHeight="1" x14ac:dyDescent="0.15">
      <c r="E668" s="1"/>
    </row>
    <row r="669" spans="5:5" ht="9.75" customHeight="1" x14ac:dyDescent="0.15">
      <c r="E669" s="1"/>
    </row>
    <row r="670" spans="5:5" ht="9.75" customHeight="1" x14ac:dyDescent="0.15">
      <c r="E670" s="1"/>
    </row>
    <row r="671" spans="5:5" ht="9.75" customHeight="1" x14ac:dyDescent="0.15">
      <c r="E671" s="1"/>
    </row>
    <row r="672" spans="5:5" ht="9.75" customHeight="1" x14ac:dyDescent="0.15">
      <c r="E672" s="1"/>
    </row>
    <row r="673" spans="5:5" ht="9.75" customHeight="1" x14ac:dyDescent="0.15">
      <c r="E673" s="1"/>
    </row>
    <row r="674" spans="5:5" ht="9.75" customHeight="1" x14ac:dyDescent="0.15">
      <c r="E674" s="1"/>
    </row>
    <row r="675" spans="5:5" ht="9.75" customHeight="1" x14ac:dyDescent="0.15">
      <c r="E675" s="1"/>
    </row>
    <row r="676" spans="5:5" ht="9.75" customHeight="1" x14ac:dyDescent="0.15">
      <c r="E676" s="1"/>
    </row>
    <row r="677" spans="5:5" ht="9.75" customHeight="1" x14ac:dyDescent="0.15">
      <c r="E677" s="1"/>
    </row>
    <row r="678" spans="5:5" ht="9.75" customHeight="1" x14ac:dyDescent="0.15">
      <c r="E678" s="1"/>
    </row>
    <row r="679" spans="5:5" ht="9.75" customHeight="1" x14ac:dyDescent="0.15">
      <c r="E679" s="1"/>
    </row>
    <row r="680" spans="5:5" ht="9.75" customHeight="1" x14ac:dyDescent="0.15">
      <c r="E680" s="1"/>
    </row>
    <row r="681" spans="5:5" ht="9.75" customHeight="1" x14ac:dyDescent="0.15">
      <c r="E681" s="1"/>
    </row>
    <row r="682" spans="5:5" ht="9.75" customHeight="1" x14ac:dyDescent="0.15">
      <c r="E682" s="1"/>
    </row>
    <row r="683" spans="5:5" ht="9.75" customHeight="1" x14ac:dyDescent="0.15">
      <c r="E683" s="1"/>
    </row>
    <row r="684" spans="5:5" ht="9.75" customHeight="1" x14ac:dyDescent="0.15">
      <c r="E684" s="1"/>
    </row>
    <row r="685" spans="5:5" ht="9.75" customHeight="1" x14ac:dyDescent="0.15">
      <c r="E685" s="1"/>
    </row>
    <row r="686" spans="5:5" ht="9.75" customHeight="1" x14ac:dyDescent="0.15">
      <c r="E686" s="1"/>
    </row>
    <row r="687" spans="5:5" ht="9.75" customHeight="1" x14ac:dyDescent="0.15">
      <c r="E687" s="1"/>
    </row>
    <row r="688" spans="5:5" ht="9.75" customHeight="1" x14ac:dyDescent="0.15">
      <c r="E688" s="1"/>
    </row>
    <row r="689" spans="5:5" ht="9.75" customHeight="1" x14ac:dyDescent="0.15">
      <c r="E689" s="1"/>
    </row>
    <row r="690" spans="5:5" ht="9.75" customHeight="1" x14ac:dyDescent="0.15">
      <c r="E690" s="1"/>
    </row>
    <row r="691" spans="5:5" ht="9.75" customHeight="1" x14ac:dyDescent="0.15">
      <c r="E691" s="1"/>
    </row>
    <row r="692" spans="5:5" ht="9.75" customHeight="1" x14ac:dyDescent="0.15">
      <c r="E692" s="1"/>
    </row>
    <row r="693" spans="5:5" ht="9.75" customHeight="1" x14ac:dyDescent="0.15">
      <c r="E693" s="1"/>
    </row>
    <row r="694" spans="5:5" ht="9.75" customHeight="1" x14ac:dyDescent="0.15">
      <c r="E694" s="1"/>
    </row>
    <row r="695" spans="5:5" ht="9.75" customHeight="1" x14ac:dyDescent="0.15">
      <c r="E695" s="1"/>
    </row>
    <row r="696" spans="5:5" ht="9.75" customHeight="1" x14ac:dyDescent="0.15">
      <c r="E696" s="1"/>
    </row>
    <row r="697" spans="5:5" ht="9.75" customHeight="1" x14ac:dyDescent="0.15">
      <c r="E697" s="1"/>
    </row>
    <row r="698" spans="5:5" ht="9.75" customHeight="1" x14ac:dyDescent="0.15">
      <c r="E698" s="1"/>
    </row>
    <row r="699" spans="5:5" ht="9.75" customHeight="1" x14ac:dyDescent="0.15">
      <c r="E699" s="1"/>
    </row>
    <row r="700" spans="5:5" ht="9.75" customHeight="1" x14ac:dyDescent="0.15">
      <c r="E700" s="1"/>
    </row>
    <row r="701" spans="5:5" ht="9.75" customHeight="1" x14ac:dyDescent="0.15">
      <c r="E701" s="1"/>
    </row>
    <row r="702" spans="5:5" ht="9.75" customHeight="1" x14ac:dyDescent="0.15">
      <c r="E702" s="1"/>
    </row>
    <row r="703" spans="5:5" ht="9.75" customHeight="1" x14ac:dyDescent="0.15">
      <c r="E703" s="1"/>
    </row>
    <row r="704" spans="5:5" ht="9.75" customHeight="1" x14ac:dyDescent="0.15">
      <c r="E704" s="1"/>
    </row>
    <row r="705" spans="5:5" ht="9.75" customHeight="1" x14ac:dyDescent="0.15">
      <c r="E705" s="1"/>
    </row>
    <row r="706" spans="5:5" ht="9.75" customHeight="1" x14ac:dyDescent="0.15">
      <c r="E706" s="1"/>
    </row>
    <row r="707" spans="5:5" ht="9.75" customHeight="1" x14ac:dyDescent="0.15">
      <c r="E707" s="1"/>
    </row>
    <row r="708" spans="5:5" ht="9.75" customHeight="1" x14ac:dyDescent="0.15">
      <c r="E708" s="1"/>
    </row>
    <row r="709" spans="5:5" ht="9.75" customHeight="1" x14ac:dyDescent="0.15">
      <c r="E709" s="1"/>
    </row>
    <row r="710" spans="5:5" ht="9.75" customHeight="1" x14ac:dyDescent="0.15">
      <c r="E710" s="1"/>
    </row>
    <row r="711" spans="5:5" ht="9.75" customHeight="1" x14ac:dyDescent="0.15">
      <c r="E711" s="1"/>
    </row>
    <row r="712" spans="5:5" ht="9.75" customHeight="1" x14ac:dyDescent="0.15">
      <c r="E712" s="1"/>
    </row>
    <row r="713" spans="5:5" ht="9.75" customHeight="1" x14ac:dyDescent="0.15">
      <c r="E713" s="1"/>
    </row>
    <row r="714" spans="5:5" ht="9.75" customHeight="1" x14ac:dyDescent="0.15">
      <c r="E714" s="1"/>
    </row>
    <row r="715" spans="5:5" ht="9.75" customHeight="1" x14ac:dyDescent="0.15">
      <c r="E715" s="1"/>
    </row>
    <row r="716" spans="5:5" ht="9.75" customHeight="1" x14ac:dyDescent="0.15">
      <c r="E716" s="1"/>
    </row>
    <row r="717" spans="5:5" ht="9.75" customHeight="1" x14ac:dyDescent="0.15">
      <c r="E717" s="1"/>
    </row>
    <row r="718" spans="5:5" ht="9.75" customHeight="1" x14ac:dyDescent="0.15">
      <c r="E718" s="1"/>
    </row>
    <row r="719" spans="5:5" ht="9.75" customHeight="1" x14ac:dyDescent="0.15">
      <c r="E719" s="1"/>
    </row>
    <row r="720" spans="5:5" ht="9.75" customHeight="1" x14ac:dyDescent="0.15">
      <c r="E720" s="1"/>
    </row>
    <row r="721" spans="5:5" ht="9.75" customHeight="1" x14ac:dyDescent="0.15">
      <c r="E721" s="1"/>
    </row>
    <row r="722" spans="5:5" ht="9.75" customHeight="1" x14ac:dyDescent="0.15">
      <c r="E722" s="1"/>
    </row>
    <row r="723" spans="5:5" ht="9.75" customHeight="1" x14ac:dyDescent="0.15">
      <c r="E723" s="1"/>
    </row>
    <row r="724" spans="5:5" ht="9.75" customHeight="1" x14ac:dyDescent="0.15">
      <c r="E724" s="1"/>
    </row>
    <row r="725" spans="5:5" ht="9.75" customHeight="1" x14ac:dyDescent="0.15">
      <c r="E725" s="1"/>
    </row>
    <row r="726" spans="5:5" ht="9.75" customHeight="1" x14ac:dyDescent="0.15">
      <c r="E726" s="1"/>
    </row>
    <row r="727" spans="5:5" ht="9.75" customHeight="1" x14ac:dyDescent="0.15">
      <c r="E727" s="1"/>
    </row>
    <row r="728" spans="5:5" ht="9.75" customHeight="1" x14ac:dyDescent="0.15">
      <c r="E728" s="1"/>
    </row>
    <row r="729" spans="5:5" ht="9.75" customHeight="1" x14ac:dyDescent="0.15">
      <c r="E729" s="1"/>
    </row>
    <row r="730" spans="5:5" ht="9.75" customHeight="1" x14ac:dyDescent="0.15">
      <c r="E730" s="1"/>
    </row>
    <row r="731" spans="5:5" ht="9.75" customHeight="1" x14ac:dyDescent="0.15">
      <c r="E731" s="1"/>
    </row>
    <row r="732" spans="5:5" ht="9.75" customHeight="1" x14ac:dyDescent="0.15">
      <c r="E732" s="1"/>
    </row>
    <row r="733" spans="5:5" ht="9.75" customHeight="1" x14ac:dyDescent="0.15">
      <c r="E733" s="1"/>
    </row>
    <row r="734" spans="5:5" ht="9.75" customHeight="1" x14ac:dyDescent="0.15">
      <c r="E734" s="1"/>
    </row>
    <row r="735" spans="5:5" ht="9.75" customHeight="1" x14ac:dyDescent="0.15">
      <c r="E735" s="1"/>
    </row>
    <row r="736" spans="5:5" ht="9.75" customHeight="1" x14ac:dyDescent="0.15">
      <c r="E736" s="1"/>
    </row>
    <row r="737" spans="5:5" ht="9.75" customHeight="1" x14ac:dyDescent="0.15">
      <c r="E737" s="1"/>
    </row>
    <row r="738" spans="5:5" ht="9.75" customHeight="1" x14ac:dyDescent="0.15">
      <c r="E738" s="1"/>
    </row>
    <row r="739" spans="5:5" ht="9.75" customHeight="1" x14ac:dyDescent="0.15">
      <c r="E739" s="1"/>
    </row>
    <row r="740" spans="5:5" ht="9.75" customHeight="1" x14ac:dyDescent="0.15">
      <c r="E740" s="1"/>
    </row>
    <row r="741" spans="5:5" ht="9.75" customHeight="1" x14ac:dyDescent="0.15">
      <c r="E741" s="1"/>
    </row>
    <row r="742" spans="5:5" ht="9.75" customHeight="1" x14ac:dyDescent="0.15">
      <c r="E742" s="1"/>
    </row>
    <row r="743" spans="5:5" ht="9.75" customHeight="1" x14ac:dyDescent="0.15">
      <c r="E743" s="1"/>
    </row>
    <row r="744" spans="5:5" ht="9.75" customHeight="1" x14ac:dyDescent="0.15">
      <c r="E744" s="1"/>
    </row>
    <row r="745" spans="5:5" ht="9.75" customHeight="1" x14ac:dyDescent="0.15">
      <c r="E745" s="1"/>
    </row>
    <row r="746" spans="5:5" ht="9.75" customHeight="1" x14ac:dyDescent="0.15">
      <c r="E746" s="1"/>
    </row>
    <row r="747" spans="5:5" ht="9.75" customHeight="1" x14ac:dyDescent="0.15">
      <c r="E747" s="1"/>
    </row>
    <row r="748" spans="5:5" ht="9.75" customHeight="1" x14ac:dyDescent="0.15">
      <c r="E748" s="1"/>
    </row>
    <row r="749" spans="5:5" ht="9.75" customHeight="1" x14ac:dyDescent="0.15">
      <c r="E749" s="1"/>
    </row>
    <row r="750" spans="5:5" ht="9.75" customHeight="1" x14ac:dyDescent="0.15">
      <c r="E750" s="1"/>
    </row>
    <row r="751" spans="5:5" ht="9.75" customHeight="1" x14ac:dyDescent="0.15">
      <c r="E751" s="1"/>
    </row>
    <row r="752" spans="5:5" ht="9.75" customHeight="1" x14ac:dyDescent="0.15">
      <c r="E752" s="1"/>
    </row>
    <row r="753" spans="5:5" ht="9.75" customHeight="1" x14ac:dyDescent="0.15">
      <c r="E753" s="1"/>
    </row>
    <row r="754" spans="5:5" ht="9.75" customHeight="1" x14ac:dyDescent="0.15">
      <c r="E754" s="1"/>
    </row>
    <row r="755" spans="5:5" ht="9.75" customHeight="1" x14ac:dyDescent="0.15">
      <c r="E755" s="1"/>
    </row>
    <row r="756" spans="5:5" ht="9.75" customHeight="1" x14ac:dyDescent="0.15">
      <c r="E756" s="1"/>
    </row>
    <row r="757" spans="5:5" ht="9.75" customHeight="1" x14ac:dyDescent="0.15">
      <c r="E757" s="1"/>
    </row>
    <row r="758" spans="5:5" ht="9.75" customHeight="1" x14ac:dyDescent="0.15">
      <c r="E758" s="1"/>
    </row>
    <row r="759" spans="5:5" ht="9.75" customHeight="1" x14ac:dyDescent="0.15">
      <c r="E759" s="1"/>
    </row>
    <row r="760" spans="5:5" ht="9.75" customHeight="1" x14ac:dyDescent="0.15">
      <c r="E760" s="1"/>
    </row>
    <row r="761" spans="5:5" ht="9.75" customHeight="1" x14ac:dyDescent="0.15">
      <c r="E761" s="1"/>
    </row>
    <row r="762" spans="5:5" ht="9.75" customHeight="1" x14ac:dyDescent="0.15">
      <c r="E762" s="1"/>
    </row>
    <row r="763" spans="5:5" ht="9.75" customHeight="1" x14ac:dyDescent="0.15">
      <c r="E763" s="1"/>
    </row>
    <row r="764" spans="5:5" ht="9.75" customHeight="1" x14ac:dyDescent="0.15">
      <c r="E764" s="1"/>
    </row>
    <row r="765" spans="5:5" ht="9.75" customHeight="1" x14ac:dyDescent="0.15">
      <c r="E765" s="1"/>
    </row>
    <row r="766" spans="5:5" ht="9.75" customHeight="1" x14ac:dyDescent="0.15">
      <c r="E766" s="1"/>
    </row>
    <row r="767" spans="5:5" ht="9.75" customHeight="1" x14ac:dyDescent="0.15">
      <c r="E767" s="1"/>
    </row>
    <row r="768" spans="5:5" ht="9.75" customHeight="1" x14ac:dyDescent="0.15">
      <c r="E768" s="1"/>
    </row>
    <row r="769" spans="5:5" ht="9.75" customHeight="1" x14ac:dyDescent="0.15">
      <c r="E769" s="1"/>
    </row>
    <row r="770" spans="5:5" ht="9.75" customHeight="1" x14ac:dyDescent="0.15">
      <c r="E770" s="1"/>
    </row>
    <row r="771" spans="5:5" ht="9.75" customHeight="1" x14ac:dyDescent="0.15">
      <c r="E771" s="1"/>
    </row>
    <row r="772" spans="5:5" ht="9.75" customHeight="1" x14ac:dyDescent="0.15">
      <c r="E772" s="1"/>
    </row>
    <row r="773" spans="5:5" ht="9.75" customHeight="1" x14ac:dyDescent="0.15">
      <c r="E773" s="1"/>
    </row>
    <row r="774" spans="5:5" ht="9.75" customHeight="1" x14ac:dyDescent="0.15">
      <c r="E774" s="1"/>
    </row>
    <row r="775" spans="5:5" ht="9.75" customHeight="1" x14ac:dyDescent="0.15">
      <c r="E775" s="1"/>
    </row>
    <row r="776" spans="5:5" ht="9.75" customHeight="1" x14ac:dyDescent="0.15">
      <c r="E776" s="1"/>
    </row>
    <row r="777" spans="5:5" ht="9.75" customHeight="1" x14ac:dyDescent="0.15">
      <c r="E777" s="1"/>
    </row>
    <row r="778" spans="5:5" ht="9.75" customHeight="1" x14ac:dyDescent="0.15">
      <c r="E778" s="1"/>
    </row>
    <row r="779" spans="5:5" ht="9.75" customHeight="1" x14ac:dyDescent="0.15">
      <c r="E779" s="1"/>
    </row>
    <row r="780" spans="5:5" ht="9.75" customHeight="1" x14ac:dyDescent="0.15">
      <c r="E780" s="1"/>
    </row>
    <row r="781" spans="5:5" ht="9.75" customHeight="1" x14ac:dyDescent="0.15">
      <c r="E781" s="1"/>
    </row>
    <row r="782" spans="5:5" ht="9.75" customHeight="1" x14ac:dyDescent="0.15">
      <c r="E782" s="1"/>
    </row>
    <row r="783" spans="5:5" ht="9.75" customHeight="1" x14ac:dyDescent="0.15">
      <c r="E783" s="1"/>
    </row>
    <row r="784" spans="5:5" ht="9.75" customHeight="1" x14ac:dyDescent="0.15">
      <c r="E784" s="1"/>
    </row>
    <row r="785" spans="5:5" ht="9.75" customHeight="1" x14ac:dyDescent="0.15">
      <c r="E785" s="1"/>
    </row>
    <row r="786" spans="5:5" ht="9.75" customHeight="1" x14ac:dyDescent="0.15">
      <c r="E786" s="1"/>
    </row>
    <row r="787" spans="5:5" ht="9.75" customHeight="1" x14ac:dyDescent="0.15">
      <c r="E787" s="1"/>
    </row>
    <row r="788" spans="5:5" ht="9.75" customHeight="1" x14ac:dyDescent="0.15">
      <c r="E788" s="1"/>
    </row>
    <row r="789" spans="5:5" ht="9.75" customHeight="1" x14ac:dyDescent="0.15">
      <c r="E789" s="1"/>
    </row>
    <row r="790" spans="5:5" ht="9.75" customHeight="1" x14ac:dyDescent="0.15">
      <c r="E790" s="1"/>
    </row>
    <row r="791" spans="5:5" ht="9.75" customHeight="1" x14ac:dyDescent="0.15">
      <c r="E791" s="1"/>
    </row>
    <row r="792" spans="5:5" ht="9.75" customHeight="1" x14ac:dyDescent="0.15">
      <c r="E792" s="1"/>
    </row>
    <row r="793" spans="5:5" ht="9.75" customHeight="1" x14ac:dyDescent="0.15">
      <c r="E793" s="1"/>
    </row>
    <row r="794" spans="5:5" ht="9.75" customHeight="1" x14ac:dyDescent="0.15">
      <c r="E794" s="1"/>
    </row>
    <row r="795" spans="5:5" ht="9.75" customHeight="1" x14ac:dyDescent="0.15">
      <c r="E795" s="1"/>
    </row>
    <row r="796" spans="5:5" ht="9.75" customHeight="1" x14ac:dyDescent="0.15">
      <c r="E796" s="1"/>
    </row>
    <row r="797" spans="5:5" ht="9.75" customHeight="1" x14ac:dyDescent="0.15">
      <c r="E797" s="1"/>
    </row>
    <row r="798" spans="5:5" ht="9.75" customHeight="1" x14ac:dyDescent="0.15">
      <c r="E798" s="1"/>
    </row>
    <row r="799" spans="5:5" ht="9.75" customHeight="1" x14ac:dyDescent="0.15">
      <c r="E799" s="1"/>
    </row>
    <row r="800" spans="5:5" ht="9.75" customHeight="1" x14ac:dyDescent="0.15">
      <c r="E800" s="1"/>
    </row>
    <row r="801" spans="5:5" ht="9.75" customHeight="1" x14ac:dyDescent="0.15">
      <c r="E801" s="1"/>
    </row>
    <row r="802" spans="5:5" ht="9.75" customHeight="1" x14ac:dyDescent="0.15">
      <c r="E802" s="1"/>
    </row>
    <row r="803" spans="5:5" ht="9.75" customHeight="1" x14ac:dyDescent="0.15">
      <c r="E803" s="1"/>
    </row>
    <row r="804" spans="5:5" ht="9.75" customHeight="1" x14ac:dyDescent="0.15">
      <c r="E804" s="1"/>
    </row>
    <row r="805" spans="5:5" ht="9.75" customHeight="1" x14ac:dyDescent="0.15">
      <c r="E805" s="1"/>
    </row>
    <row r="806" spans="5:5" ht="9.75" customHeight="1" x14ac:dyDescent="0.15">
      <c r="E806" s="1"/>
    </row>
    <row r="807" spans="5:5" ht="9.75" customHeight="1" x14ac:dyDescent="0.15">
      <c r="E807" s="1"/>
    </row>
    <row r="808" spans="5:5" ht="9.75" customHeight="1" x14ac:dyDescent="0.15">
      <c r="E808" s="1"/>
    </row>
    <row r="809" spans="5:5" ht="9.75" customHeight="1" x14ac:dyDescent="0.15">
      <c r="E809" s="1"/>
    </row>
    <row r="810" spans="5:5" ht="9.75" customHeight="1" x14ac:dyDescent="0.15">
      <c r="E810" s="1"/>
    </row>
    <row r="811" spans="5:5" ht="9.75" customHeight="1" x14ac:dyDescent="0.15">
      <c r="E811" s="1"/>
    </row>
    <row r="812" spans="5:5" ht="9.75" customHeight="1" x14ac:dyDescent="0.15">
      <c r="E812" s="1"/>
    </row>
    <row r="813" spans="5:5" ht="9.75" customHeight="1" x14ac:dyDescent="0.15">
      <c r="E813" s="1"/>
    </row>
    <row r="814" spans="5:5" ht="9.75" customHeight="1" x14ac:dyDescent="0.15">
      <c r="E814" s="1"/>
    </row>
    <row r="815" spans="5:5" ht="9.75" customHeight="1" x14ac:dyDescent="0.15">
      <c r="E815" s="1"/>
    </row>
    <row r="816" spans="5:5" ht="9.75" customHeight="1" x14ac:dyDescent="0.15">
      <c r="E816" s="1"/>
    </row>
    <row r="817" spans="5:5" ht="9.75" customHeight="1" x14ac:dyDescent="0.15">
      <c r="E817" s="1"/>
    </row>
    <row r="818" spans="5:5" ht="9.75" customHeight="1" x14ac:dyDescent="0.15">
      <c r="E818" s="1"/>
    </row>
    <row r="819" spans="5:5" ht="9.75" customHeight="1" x14ac:dyDescent="0.15">
      <c r="E819" s="1"/>
    </row>
    <row r="820" spans="5:5" ht="9.75" customHeight="1" x14ac:dyDescent="0.15">
      <c r="E820" s="1"/>
    </row>
    <row r="821" spans="5:5" ht="9.75" customHeight="1" x14ac:dyDescent="0.15">
      <c r="E821" s="1"/>
    </row>
    <row r="822" spans="5:5" ht="9.75" customHeight="1" x14ac:dyDescent="0.15">
      <c r="E822" s="1"/>
    </row>
    <row r="823" spans="5:5" ht="9.75" customHeight="1" x14ac:dyDescent="0.15">
      <c r="E823" s="1"/>
    </row>
    <row r="824" spans="5:5" ht="9.75" customHeight="1" x14ac:dyDescent="0.15">
      <c r="E824" s="1"/>
    </row>
    <row r="825" spans="5:5" ht="9.75" customHeight="1" x14ac:dyDescent="0.15">
      <c r="E825" s="1"/>
    </row>
    <row r="826" spans="5:5" ht="9.75" customHeight="1" x14ac:dyDescent="0.15">
      <c r="E826" s="1"/>
    </row>
    <row r="827" spans="5:5" ht="9.75" customHeight="1" x14ac:dyDescent="0.15">
      <c r="E827" s="1"/>
    </row>
    <row r="828" spans="5:5" ht="9.75" customHeight="1" x14ac:dyDescent="0.15">
      <c r="E828" s="1"/>
    </row>
    <row r="829" spans="5:5" ht="9.75" customHeight="1" x14ac:dyDescent="0.15">
      <c r="E829" s="1"/>
    </row>
    <row r="830" spans="5:5" ht="9.75" customHeight="1" x14ac:dyDescent="0.15">
      <c r="E830" s="1"/>
    </row>
    <row r="831" spans="5:5" ht="9.75" customHeight="1" x14ac:dyDescent="0.15">
      <c r="E831" s="1"/>
    </row>
    <row r="832" spans="5:5" ht="9.75" customHeight="1" x14ac:dyDescent="0.15">
      <c r="E832" s="1"/>
    </row>
    <row r="833" spans="5:5" ht="9.75" customHeight="1" x14ac:dyDescent="0.15">
      <c r="E833" s="1"/>
    </row>
    <row r="834" spans="5:5" ht="9.75" customHeight="1" x14ac:dyDescent="0.15">
      <c r="E834" s="1"/>
    </row>
    <row r="835" spans="5:5" ht="9.75" customHeight="1" x14ac:dyDescent="0.15">
      <c r="E835" s="1"/>
    </row>
    <row r="836" spans="5:5" ht="9.75" customHeight="1" x14ac:dyDescent="0.15">
      <c r="E836" s="1"/>
    </row>
    <row r="837" spans="5:5" ht="9.75" customHeight="1" x14ac:dyDescent="0.15">
      <c r="E837" s="1"/>
    </row>
    <row r="838" spans="5:5" ht="9.75" customHeight="1" x14ac:dyDescent="0.15">
      <c r="E838" s="1"/>
    </row>
    <row r="839" spans="5:5" ht="9.75" customHeight="1" x14ac:dyDescent="0.15">
      <c r="E839" s="1"/>
    </row>
    <row r="840" spans="5:5" ht="9.75" customHeight="1" x14ac:dyDescent="0.15">
      <c r="E840" s="1"/>
    </row>
    <row r="841" spans="5:5" ht="9.75" customHeight="1" x14ac:dyDescent="0.15">
      <c r="E841" s="1"/>
    </row>
    <row r="842" spans="5:5" ht="9.75" customHeight="1" x14ac:dyDescent="0.15">
      <c r="E842" s="1"/>
    </row>
    <row r="843" spans="5:5" ht="9.75" customHeight="1" x14ac:dyDescent="0.15">
      <c r="E843" s="1"/>
    </row>
    <row r="844" spans="5:5" ht="9.75" customHeight="1" x14ac:dyDescent="0.15">
      <c r="E844" s="1"/>
    </row>
    <row r="845" spans="5:5" ht="9.75" customHeight="1" x14ac:dyDescent="0.15">
      <c r="E845" s="1"/>
    </row>
    <row r="846" spans="5:5" ht="9.75" customHeight="1" x14ac:dyDescent="0.15">
      <c r="E846" s="1"/>
    </row>
    <row r="847" spans="5:5" ht="9.75" customHeight="1" x14ac:dyDescent="0.15">
      <c r="E847" s="1"/>
    </row>
    <row r="848" spans="5:5" ht="9.75" customHeight="1" x14ac:dyDescent="0.15">
      <c r="E848" s="1"/>
    </row>
    <row r="849" spans="5:5" ht="9.75" customHeight="1" x14ac:dyDescent="0.15">
      <c r="E849" s="1"/>
    </row>
    <row r="850" spans="5:5" ht="9.75" customHeight="1" x14ac:dyDescent="0.15">
      <c r="E850" s="1"/>
    </row>
    <row r="851" spans="5:5" ht="9.75" customHeight="1" x14ac:dyDescent="0.15">
      <c r="E851" s="1"/>
    </row>
    <row r="852" spans="5:5" ht="9.75" customHeight="1" x14ac:dyDescent="0.15">
      <c r="E852" s="1"/>
    </row>
    <row r="853" spans="5:5" ht="9.75" customHeight="1" x14ac:dyDescent="0.15">
      <c r="E853" s="1"/>
    </row>
    <row r="854" spans="5:5" ht="9.75" customHeight="1" x14ac:dyDescent="0.15">
      <c r="E854" s="1"/>
    </row>
    <row r="855" spans="5:5" ht="9.75" customHeight="1" x14ac:dyDescent="0.15">
      <c r="E855" s="1"/>
    </row>
    <row r="856" spans="5:5" ht="9.75" customHeight="1" x14ac:dyDescent="0.15">
      <c r="E856" s="1"/>
    </row>
    <row r="857" spans="5:5" ht="9.75" customHeight="1" x14ac:dyDescent="0.15">
      <c r="E857" s="1"/>
    </row>
    <row r="858" spans="5:5" ht="9.75" customHeight="1" x14ac:dyDescent="0.15">
      <c r="E858" s="1"/>
    </row>
    <row r="859" spans="5:5" ht="9.75" customHeight="1" x14ac:dyDescent="0.15">
      <c r="E859" s="1"/>
    </row>
    <row r="860" spans="5:5" ht="9.75" customHeight="1" x14ac:dyDescent="0.15">
      <c r="E860" s="1"/>
    </row>
    <row r="861" spans="5:5" ht="9.75" customHeight="1" x14ac:dyDescent="0.15">
      <c r="E861" s="1"/>
    </row>
    <row r="862" spans="5:5" ht="9.75" customHeight="1" x14ac:dyDescent="0.15">
      <c r="E862" s="1"/>
    </row>
    <row r="863" spans="5:5" ht="9.75" customHeight="1" x14ac:dyDescent="0.15">
      <c r="E863" s="1"/>
    </row>
    <row r="864" spans="5:5" ht="9.75" customHeight="1" x14ac:dyDescent="0.15">
      <c r="E864" s="1"/>
    </row>
    <row r="865" spans="5:5" ht="9.75" customHeight="1" x14ac:dyDescent="0.15">
      <c r="E865" s="1"/>
    </row>
    <row r="866" spans="5:5" ht="9.75" customHeight="1" x14ac:dyDescent="0.15">
      <c r="E866" s="1"/>
    </row>
    <row r="867" spans="5:5" ht="9.75" customHeight="1" x14ac:dyDescent="0.15">
      <c r="E867" s="1"/>
    </row>
    <row r="868" spans="5:5" ht="9.75" customHeight="1" x14ac:dyDescent="0.15">
      <c r="E868" s="1"/>
    </row>
    <row r="869" spans="5:5" ht="9.75" customHeight="1" x14ac:dyDescent="0.15">
      <c r="E869" s="1"/>
    </row>
    <row r="870" spans="5:5" ht="9.75" customHeight="1" x14ac:dyDescent="0.15">
      <c r="E870" s="1"/>
    </row>
    <row r="871" spans="5:5" ht="9.75" customHeight="1" x14ac:dyDescent="0.15">
      <c r="E871" s="1"/>
    </row>
    <row r="872" spans="5:5" ht="9.75" customHeight="1" x14ac:dyDescent="0.15">
      <c r="E872" s="1"/>
    </row>
    <row r="873" spans="5:5" ht="9.75" customHeight="1" x14ac:dyDescent="0.15">
      <c r="E873" s="1"/>
    </row>
    <row r="874" spans="5:5" ht="9.75" customHeight="1" x14ac:dyDescent="0.15">
      <c r="E874" s="1"/>
    </row>
    <row r="875" spans="5:5" ht="9.75" customHeight="1" x14ac:dyDescent="0.15">
      <c r="E875" s="1"/>
    </row>
    <row r="876" spans="5:5" ht="9.75" customHeight="1" x14ac:dyDescent="0.15">
      <c r="E876" s="1"/>
    </row>
    <row r="877" spans="5:5" ht="9.75" customHeight="1" x14ac:dyDescent="0.15">
      <c r="E877" s="1"/>
    </row>
    <row r="878" spans="5:5" ht="9.75" customHeight="1" x14ac:dyDescent="0.15">
      <c r="E878" s="1"/>
    </row>
    <row r="879" spans="5:5" ht="9.75" customHeight="1" x14ac:dyDescent="0.15">
      <c r="E879" s="1"/>
    </row>
    <row r="880" spans="5:5" ht="9.75" customHeight="1" x14ac:dyDescent="0.15">
      <c r="E880" s="1"/>
    </row>
    <row r="881" spans="5:5" ht="9.75" customHeight="1" x14ac:dyDescent="0.15">
      <c r="E881" s="1"/>
    </row>
    <row r="882" spans="5:5" ht="9.75" customHeight="1" x14ac:dyDescent="0.15">
      <c r="E882" s="1"/>
    </row>
    <row r="883" spans="5:5" ht="9.75" customHeight="1" x14ac:dyDescent="0.15">
      <c r="E883" s="1"/>
    </row>
    <row r="884" spans="5:5" ht="9.75" customHeight="1" x14ac:dyDescent="0.15">
      <c r="E884" s="1"/>
    </row>
    <row r="885" spans="5:5" ht="9.75" customHeight="1" x14ac:dyDescent="0.15">
      <c r="E885" s="1"/>
    </row>
    <row r="886" spans="5:5" ht="9.75" customHeight="1" x14ac:dyDescent="0.15">
      <c r="E886" s="1"/>
    </row>
    <row r="887" spans="5:5" ht="9.75" customHeight="1" x14ac:dyDescent="0.15">
      <c r="E887" s="1"/>
    </row>
    <row r="888" spans="5:5" ht="9.75" customHeight="1" x14ac:dyDescent="0.15">
      <c r="E888" s="1"/>
    </row>
    <row r="889" spans="5:5" ht="9.75" customHeight="1" x14ac:dyDescent="0.15">
      <c r="E889" s="1"/>
    </row>
    <row r="890" spans="5:5" ht="9.75" customHeight="1" x14ac:dyDescent="0.15">
      <c r="E890" s="1"/>
    </row>
    <row r="891" spans="5:5" ht="9.75" customHeight="1" x14ac:dyDescent="0.15">
      <c r="E891" s="1"/>
    </row>
    <row r="892" spans="5:5" ht="9.75" customHeight="1" x14ac:dyDescent="0.15">
      <c r="E892" s="1"/>
    </row>
    <row r="893" spans="5:5" ht="9.75" customHeight="1" x14ac:dyDescent="0.15">
      <c r="E893" s="1"/>
    </row>
    <row r="894" spans="5:5" ht="9.75" customHeight="1" x14ac:dyDescent="0.15">
      <c r="E894" s="1"/>
    </row>
    <row r="895" spans="5:5" ht="9.75" customHeight="1" x14ac:dyDescent="0.15">
      <c r="E895" s="1"/>
    </row>
    <row r="896" spans="5:5" ht="9.75" customHeight="1" x14ac:dyDescent="0.15">
      <c r="E896" s="1"/>
    </row>
    <row r="897" spans="5:5" ht="9.75" customHeight="1" x14ac:dyDescent="0.15">
      <c r="E897" s="1"/>
    </row>
    <row r="898" spans="5:5" ht="9.75" customHeight="1" x14ac:dyDescent="0.15">
      <c r="E898" s="1"/>
    </row>
    <row r="899" spans="5:5" ht="9.75" customHeight="1" x14ac:dyDescent="0.15">
      <c r="E899" s="1"/>
    </row>
    <row r="900" spans="5:5" ht="9.75" customHeight="1" x14ac:dyDescent="0.15">
      <c r="E900" s="1"/>
    </row>
    <row r="901" spans="5:5" ht="9.75" customHeight="1" x14ac:dyDescent="0.15">
      <c r="E901" s="1"/>
    </row>
    <row r="902" spans="5:5" ht="9.75" customHeight="1" x14ac:dyDescent="0.15">
      <c r="E902" s="1"/>
    </row>
    <row r="903" spans="5:5" ht="9.75" customHeight="1" x14ac:dyDescent="0.15">
      <c r="E903" s="1"/>
    </row>
    <row r="904" spans="5:5" ht="9.75" customHeight="1" x14ac:dyDescent="0.15">
      <c r="E904" s="1"/>
    </row>
    <row r="905" spans="5:5" ht="9.75" customHeight="1" x14ac:dyDescent="0.15">
      <c r="E905" s="1"/>
    </row>
    <row r="906" spans="5:5" ht="9.75" customHeight="1" x14ac:dyDescent="0.15">
      <c r="E906" s="1"/>
    </row>
    <row r="907" spans="5:5" ht="9.75" customHeight="1" x14ac:dyDescent="0.15">
      <c r="E907" s="1"/>
    </row>
    <row r="908" spans="5:5" ht="9.75" customHeight="1" x14ac:dyDescent="0.15">
      <c r="E908" s="1"/>
    </row>
    <row r="909" spans="5:5" ht="9.75" customHeight="1" x14ac:dyDescent="0.15">
      <c r="E909" s="1"/>
    </row>
    <row r="910" spans="5:5" ht="9.75" customHeight="1" x14ac:dyDescent="0.15">
      <c r="E910" s="1"/>
    </row>
    <row r="911" spans="5:5" ht="9.75" customHeight="1" x14ac:dyDescent="0.15">
      <c r="E911" s="1"/>
    </row>
    <row r="912" spans="5:5" ht="9.75" customHeight="1" x14ac:dyDescent="0.15">
      <c r="E912" s="1"/>
    </row>
    <row r="913" spans="5:5" ht="9.75" customHeight="1" x14ac:dyDescent="0.15">
      <c r="E913" s="1"/>
    </row>
    <row r="914" spans="5:5" ht="9.75" customHeight="1" x14ac:dyDescent="0.15">
      <c r="E914" s="1"/>
    </row>
    <row r="915" spans="5:5" ht="9.75" customHeight="1" x14ac:dyDescent="0.15">
      <c r="E915" s="1"/>
    </row>
    <row r="916" spans="5:5" ht="9.75" customHeight="1" x14ac:dyDescent="0.15">
      <c r="E916" s="1"/>
    </row>
    <row r="917" spans="5:5" ht="9.75" customHeight="1" x14ac:dyDescent="0.15">
      <c r="E917" s="1"/>
    </row>
    <row r="918" spans="5:5" ht="9.75" customHeight="1" x14ac:dyDescent="0.15">
      <c r="E918" s="1"/>
    </row>
    <row r="919" spans="5:5" ht="9.75" customHeight="1" x14ac:dyDescent="0.15">
      <c r="E919" s="1"/>
    </row>
    <row r="920" spans="5:5" ht="9.75" customHeight="1" x14ac:dyDescent="0.15">
      <c r="E920" s="1"/>
    </row>
    <row r="921" spans="5:5" ht="9.75" customHeight="1" x14ac:dyDescent="0.15">
      <c r="E921" s="1"/>
    </row>
    <row r="922" spans="5:5" ht="9.75" customHeight="1" x14ac:dyDescent="0.15">
      <c r="E922" s="1"/>
    </row>
    <row r="923" spans="5:5" ht="9.75" customHeight="1" x14ac:dyDescent="0.15">
      <c r="E923" s="1"/>
    </row>
    <row r="924" spans="5:5" ht="9.75" customHeight="1" x14ac:dyDescent="0.15">
      <c r="E924" s="1"/>
    </row>
    <row r="925" spans="5:5" ht="9.75" customHeight="1" x14ac:dyDescent="0.15">
      <c r="E925" s="1"/>
    </row>
    <row r="926" spans="5:5" ht="9.75" customHeight="1" x14ac:dyDescent="0.15">
      <c r="E926" s="1"/>
    </row>
    <row r="927" spans="5:5" ht="9.75" customHeight="1" x14ac:dyDescent="0.15">
      <c r="E927" s="1"/>
    </row>
    <row r="928" spans="5:5" ht="9.75" customHeight="1" x14ac:dyDescent="0.15">
      <c r="E928" s="1"/>
    </row>
    <row r="929" spans="5:5" ht="9.75" customHeight="1" x14ac:dyDescent="0.15">
      <c r="E929" s="1"/>
    </row>
    <row r="930" spans="5:5" ht="9.75" customHeight="1" x14ac:dyDescent="0.15">
      <c r="E930" s="1"/>
    </row>
    <row r="931" spans="5:5" ht="9.75" customHeight="1" x14ac:dyDescent="0.15">
      <c r="E931" s="1"/>
    </row>
    <row r="932" spans="5:5" ht="9.75" customHeight="1" x14ac:dyDescent="0.15">
      <c r="E932" s="1"/>
    </row>
    <row r="933" spans="5:5" ht="9.75" customHeight="1" x14ac:dyDescent="0.15">
      <c r="E933" s="1"/>
    </row>
    <row r="934" spans="5:5" ht="9.75" customHeight="1" x14ac:dyDescent="0.15">
      <c r="E934" s="1"/>
    </row>
    <row r="935" spans="5:5" ht="9.75" customHeight="1" x14ac:dyDescent="0.15">
      <c r="E935" s="1"/>
    </row>
    <row r="936" spans="5:5" ht="9.75" customHeight="1" x14ac:dyDescent="0.15">
      <c r="E936" s="1"/>
    </row>
    <row r="937" spans="5:5" ht="9.75" customHeight="1" x14ac:dyDescent="0.15">
      <c r="E937" s="1"/>
    </row>
    <row r="938" spans="5:5" ht="9.75" customHeight="1" x14ac:dyDescent="0.15">
      <c r="E938" s="1"/>
    </row>
    <row r="939" spans="5:5" ht="9.75" customHeight="1" x14ac:dyDescent="0.15">
      <c r="E939" s="1"/>
    </row>
    <row r="940" spans="5:5" ht="9.75" customHeight="1" x14ac:dyDescent="0.15">
      <c r="E940" s="1"/>
    </row>
    <row r="941" spans="5:5" ht="9.75" customHeight="1" x14ac:dyDescent="0.15">
      <c r="E941" s="1"/>
    </row>
    <row r="942" spans="5:5" ht="9.75" customHeight="1" x14ac:dyDescent="0.15">
      <c r="E942" s="1"/>
    </row>
    <row r="943" spans="5:5" ht="9.75" customHeight="1" x14ac:dyDescent="0.15">
      <c r="E943" s="1"/>
    </row>
    <row r="944" spans="5:5" ht="9.75" customHeight="1" x14ac:dyDescent="0.15">
      <c r="E944" s="1"/>
    </row>
    <row r="945" spans="5:5" ht="9.75" customHeight="1" x14ac:dyDescent="0.15">
      <c r="E945" s="1"/>
    </row>
    <row r="946" spans="5:5" ht="9.75" customHeight="1" x14ac:dyDescent="0.15">
      <c r="E946" s="1"/>
    </row>
    <row r="947" spans="5:5" ht="9.75" customHeight="1" x14ac:dyDescent="0.15">
      <c r="E947" s="1"/>
    </row>
    <row r="948" spans="5:5" ht="9.75" customHeight="1" x14ac:dyDescent="0.15">
      <c r="E948" s="1"/>
    </row>
    <row r="949" spans="5:5" ht="9.75" customHeight="1" x14ac:dyDescent="0.15">
      <c r="E949" s="1"/>
    </row>
    <row r="950" spans="5:5" ht="9.75" customHeight="1" x14ac:dyDescent="0.15">
      <c r="E950" s="1"/>
    </row>
    <row r="951" spans="5:5" ht="9.75" customHeight="1" x14ac:dyDescent="0.15">
      <c r="E951" s="1"/>
    </row>
    <row r="952" spans="5:5" ht="9.75" customHeight="1" x14ac:dyDescent="0.15">
      <c r="E952" s="1"/>
    </row>
    <row r="953" spans="5:5" ht="9.75" customHeight="1" x14ac:dyDescent="0.15">
      <c r="E953" s="1"/>
    </row>
    <row r="954" spans="5:5" ht="9.75" customHeight="1" x14ac:dyDescent="0.15">
      <c r="E954" s="1"/>
    </row>
    <row r="955" spans="5:5" ht="9.75" customHeight="1" x14ac:dyDescent="0.15">
      <c r="E955" s="1"/>
    </row>
    <row r="956" spans="5:5" ht="9.75" customHeight="1" x14ac:dyDescent="0.15">
      <c r="E956" s="1"/>
    </row>
    <row r="957" spans="5:5" ht="9.75" customHeight="1" x14ac:dyDescent="0.15">
      <c r="E957" s="1"/>
    </row>
    <row r="958" spans="5:5" ht="9.75" customHeight="1" x14ac:dyDescent="0.15">
      <c r="E958" s="1"/>
    </row>
    <row r="959" spans="5:5" ht="9.75" customHeight="1" x14ac:dyDescent="0.15">
      <c r="E959" s="1"/>
    </row>
    <row r="960" spans="5:5" ht="9.75" customHeight="1" x14ac:dyDescent="0.15">
      <c r="E960" s="1"/>
    </row>
    <row r="961" spans="5:5" ht="9.75" customHeight="1" x14ac:dyDescent="0.15">
      <c r="E961" s="1"/>
    </row>
    <row r="962" spans="5:5" ht="9.75" customHeight="1" x14ac:dyDescent="0.15">
      <c r="E962" s="1"/>
    </row>
    <row r="963" spans="5:5" ht="9.75" customHeight="1" x14ac:dyDescent="0.15">
      <c r="E963" s="1"/>
    </row>
    <row r="964" spans="5:5" ht="9.75" customHeight="1" x14ac:dyDescent="0.15">
      <c r="E964" s="1"/>
    </row>
    <row r="965" spans="5:5" ht="9.75" customHeight="1" x14ac:dyDescent="0.15">
      <c r="E965" s="1"/>
    </row>
    <row r="966" spans="5:5" ht="9.75" customHeight="1" x14ac:dyDescent="0.15">
      <c r="E966" s="1"/>
    </row>
    <row r="967" spans="5:5" ht="9.75" customHeight="1" x14ac:dyDescent="0.15">
      <c r="E967" s="1"/>
    </row>
    <row r="968" spans="5:5" ht="9.75" customHeight="1" x14ac:dyDescent="0.15">
      <c r="E968" s="1"/>
    </row>
    <row r="969" spans="5:5" ht="9.75" customHeight="1" x14ac:dyDescent="0.15">
      <c r="E969" s="1"/>
    </row>
    <row r="970" spans="5:5" ht="9.75" customHeight="1" x14ac:dyDescent="0.15">
      <c r="E970" s="1"/>
    </row>
    <row r="971" spans="5:5" ht="9.75" customHeight="1" x14ac:dyDescent="0.15">
      <c r="E971" s="1"/>
    </row>
    <row r="972" spans="5:5" ht="9.75" customHeight="1" x14ac:dyDescent="0.15">
      <c r="E972" s="1"/>
    </row>
    <row r="973" spans="5:5" ht="9.75" customHeight="1" x14ac:dyDescent="0.15">
      <c r="E973" s="1"/>
    </row>
    <row r="974" spans="5:5" ht="9.75" customHeight="1" x14ac:dyDescent="0.15">
      <c r="E974" s="1"/>
    </row>
    <row r="975" spans="5:5" ht="9.75" customHeight="1" x14ac:dyDescent="0.15">
      <c r="E975" s="1"/>
    </row>
    <row r="976" spans="5:5" ht="9.75" customHeight="1" x14ac:dyDescent="0.15">
      <c r="E976" s="1"/>
    </row>
    <row r="977" spans="5:5" ht="9.75" customHeight="1" x14ac:dyDescent="0.15">
      <c r="E977" s="1"/>
    </row>
    <row r="978" spans="5:5" ht="9.75" customHeight="1" x14ac:dyDescent="0.15">
      <c r="E978" s="1"/>
    </row>
    <row r="979" spans="5:5" ht="9.75" customHeight="1" x14ac:dyDescent="0.15">
      <c r="E979" s="1"/>
    </row>
    <row r="980" spans="5:5" ht="9.75" customHeight="1" x14ac:dyDescent="0.15">
      <c r="E980" s="1"/>
    </row>
    <row r="981" spans="5:5" ht="9.75" customHeight="1" x14ac:dyDescent="0.15">
      <c r="E981" s="1"/>
    </row>
    <row r="982" spans="5:5" ht="9.75" customHeight="1" x14ac:dyDescent="0.15">
      <c r="E982" s="1"/>
    </row>
    <row r="983" spans="5:5" ht="9.75" customHeight="1" x14ac:dyDescent="0.15">
      <c r="E983" s="1"/>
    </row>
    <row r="984" spans="5:5" ht="9.75" customHeight="1" x14ac:dyDescent="0.15">
      <c r="E984" s="1"/>
    </row>
    <row r="985" spans="5:5" ht="9.75" customHeight="1" x14ac:dyDescent="0.15">
      <c r="E985" s="1"/>
    </row>
    <row r="986" spans="5:5" ht="9.75" customHeight="1" x14ac:dyDescent="0.15">
      <c r="E986" s="1"/>
    </row>
    <row r="987" spans="5:5" ht="9.75" customHeight="1" x14ac:dyDescent="0.15">
      <c r="E987" s="1"/>
    </row>
    <row r="988" spans="5:5" ht="9.75" customHeight="1" x14ac:dyDescent="0.15">
      <c r="E988" s="1"/>
    </row>
    <row r="989" spans="5:5" ht="9.75" customHeight="1" x14ac:dyDescent="0.15">
      <c r="E989" s="1"/>
    </row>
    <row r="990" spans="5:5" ht="9.75" customHeight="1" x14ac:dyDescent="0.15">
      <c r="E990" s="1"/>
    </row>
    <row r="991" spans="5:5" ht="9.75" customHeight="1" x14ac:dyDescent="0.15">
      <c r="E991" s="1"/>
    </row>
    <row r="992" spans="5:5" ht="9.75" customHeight="1" x14ac:dyDescent="0.15">
      <c r="E992" s="1"/>
    </row>
    <row r="993" spans="5:5" ht="9.75" customHeight="1" x14ac:dyDescent="0.15">
      <c r="E993" s="1"/>
    </row>
    <row r="994" spans="5:5" ht="9.75" customHeight="1" x14ac:dyDescent="0.15">
      <c r="E994" s="1"/>
    </row>
    <row r="995" spans="5:5" ht="9.75" customHeight="1" x14ac:dyDescent="0.15">
      <c r="E995" s="1"/>
    </row>
    <row r="996" spans="5:5" ht="9.75" customHeight="1" x14ac:dyDescent="0.15">
      <c r="E996" s="1"/>
    </row>
    <row r="997" spans="5:5" ht="9.75" customHeight="1" x14ac:dyDescent="0.15">
      <c r="E997" s="1"/>
    </row>
    <row r="998" spans="5:5" ht="9.75" customHeight="1" x14ac:dyDescent="0.15">
      <c r="E998" s="1"/>
    </row>
    <row r="999" spans="5:5" ht="9.75" customHeight="1" x14ac:dyDescent="0.15">
      <c r="E999" s="1"/>
    </row>
    <row r="1000" spans="5:5" ht="9.75" customHeight="1" x14ac:dyDescent="0.15">
      <c r="E1000" s="1"/>
    </row>
  </sheetData>
  <mergeCells count="11">
    <mergeCell ref="J4:K4"/>
    <mergeCell ref="C6:G6"/>
    <mergeCell ref="I7:J7"/>
    <mergeCell ref="B8:F8"/>
    <mergeCell ref="A12:H12"/>
    <mergeCell ref="D20:G20"/>
    <mergeCell ref="D31:H31"/>
    <mergeCell ref="G35:G36"/>
    <mergeCell ref="A2:F2"/>
    <mergeCell ref="B4:D4"/>
    <mergeCell ref="G4:H4"/>
  </mergeCells>
  <pageMargins left="0.94488188976377963" right="0.19685039370078741" top="0.39370078740157483" bottom="0.39370078740157483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baseColWidth="10" defaultColWidth="11.1640625" defaultRowHeight="15" customHeight="1" x14ac:dyDescent="0.15"/>
  <cols>
    <col min="1" max="26" width="8.83203125" customWidth="1"/>
  </cols>
  <sheetData>
    <row r="1" ht="13.5" customHeight="1" x14ac:dyDescent="0.15"/>
    <row r="2" ht="13.5" customHeight="1" x14ac:dyDescent="0.15"/>
    <row r="3" ht="13.5" customHeight="1" x14ac:dyDescent="0.15"/>
    <row r="4" ht="13.5" customHeight="1" x14ac:dyDescent="0.15"/>
    <row r="5" ht="13.5" customHeight="1" x14ac:dyDescent="0.15"/>
    <row r="6" ht="13.5" customHeight="1" x14ac:dyDescent="0.15"/>
    <row r="7" ht="13.5" customHeight="1" x14ac:dyDescent="0.15"/>
    <row r="8" ht="13.5" customHeight="1" x14ac:dyDescent="0.15"/>
    <row r="9" ht="13.5" customHeight="1" x14ac:dyDescent="0.15"/>
    <row r="10" ht="13.5" customHeight="1" x14ac:dyDescent="0.15"/>
    <row r="11" ht="13.5" customHeight="1" x14ac:dyDescent="0.15"/>
    <row r="12" ht="13.5" customHeight="1" x14ac:dyDescent="0.15"/>
    <row r="13" ht="13.5" customHeight="1" x14ac:dyDescent="0.15"/>
    <row r="14" ht="13.5" customHeight="1" x14ac:dyDescent="0.15"/>
    <row r="15" ht="13.5" customHeight="1" x14ac:dyDescent="0.15"/>
    <row r="16" ht="13.5" customHeight="1" x14ac:dyDescent="0.15"/>
    <row r="17" ht="13.5" customHeight="1" x14ac:dyDescent="0.15"/>
    <row r="18" ht="13.5" customHeight="1" x14ac:dyDescent="0.15"/>
    <row r="19" ht="13.5" customHeight="1" x14ac:dyDescent="0.15"/>
    <row r="20" ht="13.5" customHeight="1" x14ac:dyDescent="0.15"/>
    <row r="21" ht="13.5" customHeight="1" x14ac:dyDescent="0.15"/>
    <row r="22" ht="13.5" customHeight="1" x14ac:dyDescent="0.15"/>
    <row r="23" ht="13.5" customHeight="1" x14ac:dyDescent="0.15"/>
    <row r="24" ht="13.5" customHeight="1" x14ac:dyDescent="0.15"/>
    <row r="25" ht="13.5" customHeight="1" x14ac:dyDescent="0.15"/>
    <row r="26" ht="13.5" customHeight="1" x14ac:dyDescent="0.15"/>
    <row r="27" ht="13.5" customHeight="1" x14ac:dyDescent="0.15"/>
    <row r="28" ht="13.5" customHeight="1" x14ac:dyDescent="0.15"/>
    <row r="29" ht="13.5" customHeight="1" x14ac:dyDescent="0.15"/>
    <row r="30" ht="13.5" customHeight="1" x14ac:dyDescent="0.15"/>
    <row r="31" ht="13.5" customHeight="1" x14ac:dyDescent="0.15"/>
    <row r="32" ht="13.5" customHeight="1" x14ac:dyDescent="0.15"/>
    <row r="33" ht="13.5" customHeight="1" x14ac:dyDescent="0.15"/>
    <row r="34" ht="13.5" customHeight="1" x14ac:dyDescent="0.15"/>
    <row r="35" ht="13.5" customHeight="1" x14ac:dyDescent="0.15"/>
    <row r="36" ht="13.5" customHeight="1" x14ac:dyDescent="0.15"/>
    <row r="37" ht="13.5" customHeight="1" x14ac:dyDescent="0.15"/>
    <row r="38" ht="13.5" customHeight="1" x14ac:dyDescent="0.15"/>
    <row r="39" ht="13.5" customHeight="1" x14ac:dyDescent="0.15"/>
    <row r="40" ht="13.5" customHeight="1" x14ac:dyDescent="0.15"/>
    <row r="41" ht="13.5" customHeight="1" x14ac:dyDescent="0.15"/>
    <row r="42" ht="13.5" customHeight="1" x14ac:dyDescent="0.15"/>
    <row r="43" ht="13.5" customHeight="1" x14ac:dyDescent="0.15"/>
    <row r="44" ht="13.5" customHeight="1" x14ac:dyDescent="0.15"/>
    <row r="45" ht="13.5" customHeight="1" x14ac:dyDescent="0.15"/>
    <row r="46" ht="13.5" customHeight="1" x14ac:dyDescent="0.15"/>
    <row r="47" ht="13.5" customHeight="1" x14ac:dyDescent="0.15"/>
    <row r="48" ht="13.5" customHeight="1" x14ac:dyDescent="0.15"/>
    <row r="49" ht="13.5" customHeight="1" x14ac:dyDescent="0.15"/>
    <row r="50" ht="13.5" customHeight="1" x14ac:dyDescent="0.15"/>
    <row r="51" ht="13.5" customHeight="1" x14ac:dyDescent="0.15"/>
    <row r="52" ht="13.5" customHeight="1" x14ac:dyDescent="0.15"/>
    <row r="53" ht="13.5" customHeight="1" x14ac:dyDescent="0.15"/>
    <row r="54" ht="13.5" customHeight="1" x14ac:dyDescent="0.15"/>
    <row r="55" ht="13.5" customHeight="1" x14ac:dyDescent="0.15"/>
    <row r="56" ht="13.5" customHeight="1" x14ac:dyDescent="0.15"/>
    <row r="57" ht="13.5" customHeight="1" x14ac:dyDescent="0.15"/>
    <row r="58" ht="13.5" customHeight="1" x14ac:dyDescent="0.15"/>
    <row r="59" ht="13.5" customHeight="1" x14ac:dyDescent="0.15"/>
    <row r="60" ht="13.5" customHeight="1" x14ac:dyDescent="0.15"/>
    <row r="61" ht="13.5" customHeight="1" x14ac:dyDescent="0.15"/>
    <row r="62" ht="13.5" customHeight="1" x14ac:dyDescent="0.15"/>
    <row r="63" ht="13.5" customHeight="1" x14ac:dyDescent="0.15"/>
    <row r="64" ht="13.5" customHeight="1" x14ac:dyDescent="0.15"/>
    <row r="65" ht="13.5" customHeight="1" x14ac:dyDescent="0.15"/>
    <row r="66" ht="13.5" customHeight="1" x14ac:dyDescent="0.15"/>
    <row r="67" ht="13.5" customHeight="1" x14ac:dyDescent="0.15"/>
    <row r="68" ht="13.5" customHeight="1" x14ac:dyDescent="0.15"/>
    <row r="69" ht="13.5" customHeight="1" x14ac:dyDescent="0.15"/>
    <row r="70" ht="13.5" customHeight="1" x14ac:dyDescent="0.15"/>
    <row r="71" ht="13.5" customHeight="1" x14ac:dyDescent="0.15"/>
    <row r="72" ht="13.5" customHeight="1" x14ac:dyDescent="0.15"/>
    <row r="73" ht="13.5" customHeight="1" x14ac:dyDescent="0.15"/>
    <row r="74" ht="13.5" customHeight="1" x14ac:dyDescent="0.15"/>
    <row r="75" ht="13.5" customHeight="1" x14ac:dyDescent="0.15"/>
    <row r="76" ht="13.5" customHeight="1" x14ac:dyDescent="0.15"/>
    <row r="77" ht="13.5" customHeight="1" x14ac:dyDescent="0.15"/>
    <row r="78" ht="13.5" customHeight="1" x14ac:dyDescent="0.15"/>
    <row r="79" ht="13.5" customHeight="1" x14ac:dyDescent="0.15"/>
    <row r="80" ht="13.5" customHeight="1" x14ac:dyDescent="0.15"/>
    <row r="81" ht="13.5" customHeight="1" x14ac:dyDescent="0.15"/>
    <row r="82" ht="13.5" customHeight="1" x14ac:dyDescent="0.15"/>
    <row r="83" ht="13.5" customHeight="1" x14ac:dyDescent="0.15"/>
    <row r="84" ht="13.5" customHeight="1" x14ac:dyDescent="0.15"/>
    <row r="85" ht="13.5" customHeight="1" x14ac:dyDescent="0.15"/>
    <row r="86" ht="13.5" customHeight="1" x14ac:dyDescent="0.15"/>
    <row r="87" ht="13.5" customHeight="1" x14ac:dyDescent="0.15"/>
    <row r="88" ht="13.5" customHeight="1" x14ac:dyDescent="0.15"/>
    <row r="89" ht="13.5" customHeight="1" x14ac:dyDescent="0.15"/>
    <row r="90" ht="13.5" customHeight="1" x14ac:dyDescent="0.15"/>
    <row r="91" ht="13.5" customHeight="1" x14ac:dyDescent="0.15"/>
    <row r="92" ht="13.5" customHeight="1" x14ac:dyDescent="0.15"/>
    <row r="93" ht="13.5" customHeight="1" x14ac:dyDescent="0.15"/>
    <row r="94" ht="13.5" customHeight="1" x14ac:dyDescent="0.15"/>
    <row r="95" ht="13.5" customHeight="1" x14ac:dyDescent="0.15"/>
    <row r="96" ht="13.5" customHeight="1" x14ac:dyDescent="0.15"/>
    <row r="97" ht="13.5" customHeight="1" x14ac:dyDescent="0.15"/>
    <row r="98" ht="13.5" customHeight="1" x14ac:dyDescent="0.15"/>
    <row r="99" ht="13.5" customHeight="1" x14ac:dyDescent="0.15"/>
    <row r="100" ht="13.5" customHeight="1" x14ac:dyDescent="0.15"/>
    <row r="101" ht="13.5" customHeight="1" x14ac:dyDescent="0.15"/>
    <row r="102" ht="13.5" customHeight="1" x14ac:dyDescent="0.15"/>
    <row r="103" ht="13.5" customHeight="1" x14ac:dyDescent="0.15"/>
    <row r="104" ht="13.5" customHeight="1" x14ac:dyDescent="0.15"/>
    <row r="105" ht="13.5" customHeight="1" x14ac:dyDescent="0.15"/>
    <row r="106" ht="13.5" customHeight="1" x14ac:dyDescent="0.15"/>
    <row r="107" ht="13.5" customHeight="1" x14ac:dyDescent="0.15"/>
    <row r="108" ht="13.5" customHeight="1" x14ac:dyDescent="0.15"/>
    <row r="109" ht="13.5" customHeight="1" x14ac:dyDescent="0.15"/>
    <row r="110" ht="13.5" customHeight="1" x14ac:dyDescent="0.15"/>
    <row r="111" ht="13.5" customHeight="1" x14ac:dyDescent="0.15"/>
    <row r="112" ht="13.5" customHeight="1" x14ac:dyDescent="0.15"/>
    <row r="113" ht="13.5" customHeight="1" x14ac:dyDescent="0.15"/>
    <row r="114" ht="13.5" customHeight="1" x14ac:dyDescent="0.15"/>
    <row r="115" ht="13.5" customHeight="1" x14ac:dyDescent="0.15"/>
    <row r="116" ht="13.5" customHeight="1" x14ac:dyDescent="0.15"/>
    <row r="117" ht="13.5" customHeight="1" x14ac:dyDescent="0.15"/>
    <row r="118" ht="13.5" customHeight="1" x14ac:dyDescent="0.15"/>
    <row r="119" ht="13.5" customHeight="1" x14ac:dyDescent="0.15"/>
    <row r="120" ht="13.5" customHeight="1" x14ac:dyDescent="0.15"/>
    <row r="121" ht="13.5" customHeight="1" x14ac:dyDescent="0.15"/>
    <row r="122" ht="13.5" customHeight="1" x14ac:dyDescent="0.15"/>
    <row r="123" ht="13.5" customHeight="1" x14ac:dyDescent="0.15"/>
    <row r="124" ht="13.5" customHeight="1" x14ac:dyDescent="0.15"/>
    <row r="125" ht="13.5" customHeight="1" x14ac:dyDescent="0.15"/>
    <row r="126" ht="13.5" customHeight="1" x14ac:dyDescent="0.15"/>
    <row r="127" ht="13.5" customHeight="1" x14ac:dyDescent="0.15"/>
    <row r="128" ht="13.5" customHeight="1" x14ac:dyDescent="0.15"/>
    <row r="129" ht="13.5" customHeight="1" x14ac:dyDescent="0.15"/>
    <row r="130" ht="13.5" customHeight="1" x14ac:dyDescent="0.15"/>
    <row r="131" ht="13.5" customHeight="1" x14ac:dyDescent="0.15"/>
    <row r="132" ht="13.5" customHeight="1" x14ac:dyDescent="0.15"/>
    <row r="133" ht="13.5" customHeight="1" x14ac:dyDescent="0.15"/>
    <row r="134" ht="13.5" customHeight="1" x14ac:dyDescent="0.15"/>
    <row r="135" ht="13.5" customHeight="1" x14ac:dyDescent="0.15"/>
    <row r="136" ht="13.5" customHeight="1" x14ac:dyDescent="0.15"/>
    <row r="137" ht="13.5" customHeight="1" x14ac:dyDescent="0.15"/>
    <row r="138" ht="13.5" customHeight="1" x14ac:dyDescent="0.15"/>
    <row r="139" ht="13.5" customHeight="1" x14ac:dyDescent="0.15"/>
    <row r="140" ht="13.5" customHeight="1" x14ac:dyDescent="0.15"/>
    <row r="141" ht="13.5" customHeight="1" x14ac:dyDescent="0.15"/>
    <row r="142" ht="13.5" customHeight="1" x14ac:dyDescent="0.15"/>
    <row r="143" ht="13.5" customHeight="1" x14ac:dyDescent="0.15"/>
    <row r="144" ht="13.5" customHeight="1" x14ac:dyDescent="0.15"/>
    <row r="145" ht="13.5" customHeight="1" x14ac:dyDescent="0.15"/>
    <row r="146" ht="13.5" customHeight="1" x14ac:dyDescent="0.15"/>
    <row r="147" ht="13.5" customHeight="1" x14ac:dyDescent="0.15"/>
    <row r="148" ht="13.5" customHeight="1" x14ac:dyDescent="0.15"/>
    <row r="149" ht="13.5" customHeight="1" x14ac:dyDescent="0.15"/>
    <row r="150" ht="13.5" customHeight="1" x14ac:dyDescent="0.15"/>
    <row r="151" ht="13.5" customHeight="1" x14ac:dyDescent="0.15"/>
    <row r="152" ht="13.5" customHeight="1" x14ac:dyDescent="0.15"/>
    <row r="153" ht="13.5" customHeight="1" x14ac:dyDescent="0.15"/>
    <row r="154" ht="13.5" customHeight="1" x14ac:dyDescent="0.15"/>
    <row r="155" ht="13.5" customHeight="1" x14ac:dyDescent="0.15"/>
    <row r="156" ht="13.5" customHeight="1" x14ac:dyDescent="0.15"/>
    <row r="157" ht="13.5" customHeight="1" x14ac:dyDescent="0.15"/>
    <row r="158" ht="13.5" customHeight="1" x14ac:dyDescent="0.15"/>
    <row r="159" ht="13.5" customHeight="1" x14ac:dyDescent="0.15"/>
    <row r="160" ht="13.5" customHeight="1" x14ac:dyDescent="0.15"/>
    <row r="161" ht="13.5" customHeight="1" x14ac:dyDescent="0.15"/>
    <row r="162" ht="13.5" customHeight="1" x14ac:dyDescent="0.15"/>
    <row r="163" ht="13.5" customHeight="1" x14ac:dyDescent="0.15"/>
    <row r="164" ht="13.5" customHeight="1" x14ac:dyDescent="0.15"/>
    <row r="165" ht="13.5" customHeight="1" x14ac:dyDescent="0.15"/>
    <row r="166" ht="13.5" customHeight="1" x14ac:dyDescent="0.15"/>
    <row r="167" ht="13.5" customHeight="1" x14ac:dyDescent="0.15"/>
    <row r="168" ht="13.5" customHeight="1" x14ac:dyDescent="0.15"/>
    <row r="169" ht="13.5" customHeight="1" x14ac:dyDescent="0.15"/>
    <row r="170" ht="13.5" customHeight="1" x14ac:dyDescent="0.15"/>
    <row r="171" ht="13.5" customHeight="1" x14ac:dyDescent="0.15"/>
    <row r="172" ht="13.5" customHeight="1" x14ac:dyDescent="0.15"/>
    <row r="173" ht="13.5" customHeight="1" x14ac:dyDescent="0.15"/>
    <row r="174" ht="13.5" customHeight="1" x14ac:dyDescent="0.15"/>
    <row r="175" ht="13.5" customHeight="1" x14ac:dyDescent="0.15"/>
    <row r="176" ht="13.5" customHeight="1" x14ac:dyDescent="0.15"/>
    <row r="177" ht="13.5" customHeight="1" x14ac:dyDescent="0.15"/>
    <row r="178" ht="13.5" customHeight="1" x14ac:dyDescent="0.15"/>
    <row r="179" ht="13.5" customHeight="1" x14ac:dyDescent="0.15"/>
    <row r="180" ht="13.5" customHeight="1" x14ac:dyDescent="0.15"/>
    <row r="181" ht="13.5" customHeight="1" x14ac:dyDescent="0.15"/>
    <row r="182" ht="13.5" customHeight="1" x14ac:dyDescent="0.15"/>
    <row r="183" ht="13.5" customHeight="1" x14ac:dyDescent="0.15"/>
    <row r="184" ht="13.5" customHeight="1" x14ac:dyDescent="0.15"/>
    <row r="185" ht="13.5" customHeight="1" x14ac:dyDescent="0.15"/>
    <row r="186" ht="13.5" customHeight="1" x14ac:dyDescent="0.15"/>
    <row r="187" ht="13.5" customHeight="1" x14ac:dyDescent="0.15"/>
    <row r="188" ht="13.5" customHeight="1" x14ac:dyDescent="0.15"/>
    <row r="189" ht="13.5" customHeight="1" x14ac:dyDescent="0.15"/>
    <row r="190" ht="13.5" customHeight="1" x14ac:dyDescent="0.15"/>
    <row r="191" ht="13.5" customHeight="1" x14ac:dyDescent="0.15"/>
    <row r="192" ht="13.5" customHeight="1" x14ac:dyDescent="0.15"/>
    <row r="193" ht="13.5" customHeight="1" x14ac:dyDescent="0.15"/>
    <row r="194" ht="13.5" customHeight="1" x14ac:dyDescent="0.15"/>
    <row r="195" ht="13.5" customHeight="1" x14ac:dyDescent="0.15"/>
    <row r="196" ht="13.5" customHeight="1" x14ac:dyDescent="0.15"/>
    <row r="197" ht="13.5" customHeight="1" x14ac:dyDescent="0.15"/>
    <row r="198" ht="13.5" customHeight="1" x14ac:dyDescent="0.15"/>
    <row r="199" ht="13.5" customHeight="1" x14ac:dyDescent="0.15"/>
    <row r="200" ht="13.5" customHeight="1" x14ac:dyDescent="0.15"/>
    <row r="201" ht="13.5" customHeight="1" x14ac:dyDescent="0.15"/>
    <row r="202" ht="13.5" customHeight="1" x14ac:dyDescent="0.15"/>
    <row r="203" ht="13.5" customHeight="1" x14ac:dyDescent="0.15"/>
    <row r="204" ht="13.5" customHeight="1" x14ac:dyDescent="0.15"/>
    <row r="205" ht="13.5" customHeight="1" x14ac:dyDescent="0.15"/>
    <row r="206" ht="13.5" customHeight="1" x14ac:dyDescent="0.15"/>
    <row r="207" ht="13.5" customHeight="1" x14ac:dyDescent="0.15"/>
    <row r="208" ht="13.5" customHeight="1" x14ac:dyDescent="0.15"/>
    <row r="209" ht="13.5" customHeight="1" x14ac:dyDescent="0.15"/>
    <row r="210" ht="13.5" customHeight="1" x14ac:dyDescent="0.15"/>
    <row r="211" ht="13.5" customHeight="1" x14ac:dyDescent="0.15"/>
    <row r="212" ht="13.5" customHeight="1" x14ac:dyDescent="0.15"/>
    <row r="213" ht="13.5" customHeight="1" x14ac:dyDescent="0.15"/>
    <row r="214" ht="13.5" customHeight="1" x14ac:dyDescent="0.15"/>
    <row r="215" ht="13.5" customHeight="1" x14ac:dyDescent="0.15"/>
    <row r="216" ht="13.5" customHeight="1" x14ac:dyDescent="0.15"/>
    <row r="217" ht="13.5" customHeight="1" x14ac:dyDescent="0.15"/>
    <row r="218" ht="13.5" customHeight="1" x14ac:dyDescent="0.15"/>
    <row r="219" ht="13.5" customHeight="1" x14ac:dyDescent="0.15"/>
    <row r="220" ht="13.5" customHeight="1" x14ac:dyDescent="0.15"/>
    <row r="221" ht="13.5" customHeight="1" x14ac:dyDescent="0.15"/>
    <row r="222" ht="13.5" customHeight="1" x14ac:dyDescent="0.15"/>
    <row r="223" ht="13.5" customHeight="1" x14ac:dyDescent="0.15"/>
    <row r="224" ht="13.5" customHeight="1" x14ac:dyDescent="0.15"/>
    <row r="225" ht="13.5" customHeight="1" x14ac:dyDescent="0.15"/>
    <row r="226" ht="13.5" customHeight="1" x14ac:dyDescent="0.15"/>
    <row r="227" ht="13.5" customHeight="1" x14ac:dyDescent="0.15"/>
    <row r="228" ht="13.5" customHeight="1" x14ac:dyDescent="0.15"/>
    <row r="229" ht="13.5" customHeight="1" x14ac:dyDescent="0.15"/>
    <row r="230" ht="13.5" customHeight="1" x14ac:dyDescent="0.15"/>
    <row r="231" ht="13.5" customHeight="1" x14ac:dyDescent="0.15"/>
    <row r="232" ht="13.5" customHeight="1" x14ac:dyDescent="0.15"/>
    <row r="233" ht="13.5" customHeight="1" x14ac:dyDescent="0.15"/>
    <row r="234" ht="13.5" customHeight="1" x14ac:dyDescent="0.15"/>
    <row r="235" ht="13.5" customHeight="1" x14ac:dyDescent="0.15"/>
    <row r="236" ht="13.5" customHeight="1" x14ac:dyDescent="0.15"/>
    <row r="237" ht="13.5" customHeight="1" x14ac:dyDescent="0.15"/>
    <row r="238" ht="13.5" customHeight="1" x14ac:dyDescent="0.15"/>
    <row r="239" ht="13.5" customHeight="1" x14ac:dyDescent="0.15"/>
    <row r="240" ht="13.5" customHeight="1" x14ac:dyDescent="0.15"/>
    <row r="241" ht="13.5" customHeight="1" x14ac:dyDescent="0.15"/>
    <row r="242" ht="13.5" customHeight="1" x14ac:dyDescent="0.15"/>
    <row r="243" ht="13.5" customHeight="1" x14ac:dyDescent="0.15"/>
    <row r="244" ht="13.5" customHeight="1" x14ac:dyDescent="0.15"/>
    <row r="245" ht="13.5" customHeight="1" x14ac:dyDescent="0.15"/>
    <row r="246" ht="13.5" customHeight="1" x14ac:dyDescent="0.15"/>
    <row r="247" ht="13.5" customHeight="1" x14ac:dyDescent="0.15"/>
    <row r="248" ht="13.5" customHeight="1" x14ac:dyDescent="0.15"/>
    <row r="249" ht="13.5" customHeight="1" x14ac:dyDescent="0.15"/>
    <row r="250" ht="13.5" customHeight="1" x14ac:dyDescent="0.15"/>
    <row r="251" ht="13.5" customHeight="1" x14ac:dyDescent="0.15"/>
    <row r="252" ht="13.5" customHeight="1" x14ac:dyDescent="0.15"/>
    <row r="253" ht="13.5" customHeight="1" x14ac:dyDescent="0.15"/>
    <row r="254" ht="13.5" customHeight="1" x14ac:dyDescent="0.15"/>
    <row r="255" ht="13.5" customHeight="1" x14ac:dyDescent="0.15"/>
    <row r="256" ht="13.5" customHeight="1" x14ac:dyDescent="0.15"/>
    <row r="257" ht="13.5" customHeight="1" x14ac:dyDescent="0.15"/>
    <row r="258" ht="13.5" customHeight="1" x14ac:dyDescent="0.15"/>
    <row r="259" ht="13.5" customHeight="1" x14ac:dyDescent="0.15"/>
    <row r="260" ht="13.5" customHeight="1" x14ac:dyDescent="0.15"/>
    <row r="261" ht="13.5" customHeight="1" x14ac:dyDescent="0.15"/>
    <row r="262" ht="13.5" customHeight="1" x14ac:dyDescent="0.15"/>
    <row r="263" ht="13.5" customHeight="1" x14ac:dyDescent="0.15"/>
    <row r="264" ht="13.5" customHeight="1" x14ac:dyDescent="0.15"/>
    <row r="265" ht="13.5" customHeight="1" x14ac:dyDescent="0.15"/>
    <row r="266" ht="13.5" customHeight="1" x14ac:dyDescent="0.15"/>
    <row r="267" ht="13.5" customHeight="1" x14ac:dyDescent="0.15"/>
    <row r="268" ht="13.5" customHeight="1" x14ac:dyDescent="0.15"/>
    <row r="269" ht="13.5" customHeight="1" x14ac:dyDescent="0.15"/>
    <row r="270" ht="13.5" customHeight="1" x14ac:dyDescent="0.15"/>
    <row r="271" ht="13.5" customHeight="1" x14ac:dyDescent="0.15"/>
    <row r="272" ht="13.5" customHeight="1" x14ac:dyDescent="0.15"/>
    <row r="273" ht="13.5" customHeight="1" x14ac:dyDescent="0.15"/>
    <row r="274" ht="13.5" customHeight="1" x14ac:dyDescent="0.15"/>
    <row r="275" ht="13.5" customHeight="1" x14ac:dyDescent="0.15"/>
    <row r="276" ht="13.5" customHeight="1" x14ac:dyDescent="0.15"/>
    <row r="277" ht="13.5" customHeight="1" x14ac:dyDescent="0.15"/>
    <row r="278" ht="13.5" customHeight="1" x14ac:dyDescent="0.15"/>
    <row r="279" ht="13.5" customHeight="1" x14ac:dyDescent="0.15"/>
    <row r="280" ht="13.5" customHeight="1" x14ac:dyDescent="0.15"/>
    <row r="281" ht="13.5" customHeight="1" x14ac:dyDescent="0.15"/>
    <row r="282" ht="13.5" customHeight="1" x14ac:dyDescent="0.15"/>
    <row r="283" ht="13.5" customHeight="1" x14ac:dyDescent="0.15"/>
    <row r="284" ht="13.5" customHeight="1" x14ac:dyDescent="0.15"/>
    <row r="285" ht="13.5" customHeight="1" x14ac:dyDescent="0.15"/>
    <row r="286" ht="13.5" customHeight="1" x14ac:dyDescent="0.15"/>
    <row r="287" ht="13.5" customHeight="1" x14ac:dyDescent="0.15"/>
    <row r="288" ht="13.5" customHeight="1" x14ac:dyDescent="0.15"/>
    <row r="289" ht="13.5" customHeight="1" x14ac:dyDescent="0.15"/>
    <row r="290" ht="13.5" customHeight="1" x14ac:dyDescent="0.15"/>
    <row r="291" ht="13.5" customHeight="1" x14ac:dyDescent="0.15"/>
    <row r="292" ht="13.5" customHeight="1" x14ac:dyDescent="0.15"/>
    <row r="293" ht="13.5" customHeight="1" x14ac:dyDescent="0.15"/>
    <row r="294" ht="13.5" customHeight="1" x14ac:dyDescent="0.15"/>
    <row r="295" ht="13.5" customHeight="1" x14ac:dyDescent="0.15"/>
    <row r="296" ht="13.5" customHeight="1" x14ac:dyDescent="0.15"/>
    <row r="297" ht="13.5" customHeight="1" x14ac:dyDescent="0.15"/>
    <row r="298" ht="13.5" customHeight="1" x14ac:dyDescent="0.15"/>
    <row r="299" ht="13.5" customHeight="1" x14ac:dyDescent="0.15"/>
    <row r="300" ht="13.5" customHeight="1" x14ac:dyDescent="0.15"/>
    <row r="301" ht="13.5" customHeight="1" x14ac:dyDescent="0.15"/>
    <row r="302" ht="13.5" customHeight="1" x14ac:dyDescent="0.15"/>
    <row r="303" ht="13.5" customHeight="1" x14ac:dyDescent="0.15"/>
    <row r="304" ht="13.5" customHeight="1" x14ac:dyDescent="0.15"/>
    <row r="305" ht="13.5" customHeight="1" x14ac:dyDescent="0.15"/>
    <row r="306" ht="13.5" customHeight="1" x14ac:dyDescent="0.15"/>
    <row r="307" ht="13.5" customHeight="1" x14ac:dyDescent="0.15"/>
    <row r="308" ht="13.5" customHeight="1" x14ac:dyDescent="0.15"/>
    <row r="309" ht="13.5" customHeight="1" x14ac:dyDescent="0.15"/>
    <row r="310" ht="13.5" customHeight="1" x14ac:dyDescent="0.15"/>
    <row r="311" ht="13.5" customHeight="1" x14ac:dyDescent="0.15"/>
    <row r="312" ht="13.5" customHeight="1" x14ac:dyDescent="0.15"/>
    <row r="313" ht="13.5" customHeight="1" x14ac:dyDescent="0.15"/>
    <row r="314" ht="13.5" customHeight="1" x14ac:dyDescent="0.15"/>
    <row r="315" ht="13.5" customHeight="1" x14ac:dyDescent="0.15"/>
    <row r="316" ht="13.5" customHeight="1" x14ac:dyDescent="0.15"/>
    <row r="317" ht="13.5" customHeight="1" x14ac:dyDescent="0.15"/>
    <row r="318" ht="13.5" customHeight="1" x14ac:dyDescent="0.15"/>
    <row r="319" ht="13.5" customHeight="1" x14ac:dyDescent="0.15"/>
    <row r="320" ht="13.5" customHeight="1" x14ac:dyDescent="0.15"/>
    <row r="321" ht="13.5" customHeight="1" x14ac:dyDescent="0.15"/>
    <row r="322" ht="13.5" customHeight="1" x14ac:dyDescent="0.15"/>
    <row r="323" ht="13.5" customHeight="1" x14ac:dyDescent="0.15"/>
    <row r="324" ht="13.5" customHeight="1" x14ac:dyDescent="0.15"/>
    <row r="325" ht="13.5" customHeight="1" x14ac:dyDescent="0.15"/>
    <row r="326" ht="13.5" customHeight="1" x14ac:dyDescent="0.15"/>
    <row r="327" ht="13.5" customHeight="1" x14ac:dyDescent="0.15"/>
    <row r="328" ht="13.5" customHeight="1" x14ac:dyDescent="0.15"/>
    <row r="329" ht="13.5" customHeight="1" x14ac:dyDescent="0.15"/>
    <row r="330" ht="13.5" customHeight="1" x14ac:dyDescent="0.15"/>
    <row r="331" ht="13.5" customHeight="1" x14ac:dyDescent="0.15"/>
    <row r="332" ht="13.5" customHeight="1" x14ac:dyDescent="0.15"/>
    <row r="333" ht="13.5" customHeight="1" x14ac:dyDescent="0.15"/>
    <row r="334" ht="13.5" customHeight="1" x14ac:dyDescent="0.15"/>
    <row r="335" ht="13.5" customHeight="1" x14ac:dyDescent="0.15"/>
    <row r="336" ht="13.5" customHeight="1" x14ac:dyDescent="0.15"/>
    <row r="337" ht="13.5" customHeight="1" x14ac:dyDescent="0.15"/>
    <row r="338" ht="13.5" customHeight="1" x14ac:dyDescent="0.15"/>
    <row r="339" ht="13.5" customHeight="1" x14ac:dyDescent="0.15"/>
    <row r="340" ht="13.5" customHeight="1" x14ac:dyDescent="0.15"/>
    <row r="341" ht="13.5" customHeight="1" x14ac:dyDescent="0.15"/>
    <row r="342" ht="13.5" customHeight="1" x14ac:dyDescent="0.15"/>
    <row r="343" ht="13.5" customHeight="1" x14ac:dyDescent="0.15"/>
    <row r="344" ht="13.5" customHeight="1" x14ac:dyDescent="0.15"/>
    <row r="345" ht="13.5" customHeight="1" x14ac:dyDescent="0.15"/>
    <row r="346" ht="13.5" customHeight="1" x14ac:dyDescent="0.15"/>
    <row r="347" ht="13.5" customHeight="1" x14ac:dyDescent="0.15"/>
    <row r="348" ht="13.5" customHeight="1" x14ac:dyDescent="0.15"/>
    <row r="349" ht="13.5" customHeight="1" x14ac:dyDescent="0.15"/>
    <row r="350" ht="13.5" customHeight="1" x14ac:dyDescent="0.15"/>
    <row r="351" ht="13.5" customHeight="1" x14ac:dyDescent="0.15"/>
    <row r="352" ht="13.5" customHeight="1" x14ac:dyDescent="0.15"/>
    <row r="353" ht="13.5" customHeight="1" x14ac:dyDescent="0.15"/>
    <row r="354" ht="13.5" customHeight="1" x14ac:dyDescent="0.15"/>
    <row r="355" ht="13.5" customHeight="1" x14ac:dyDescent="0.15"/>
    <row r="356" ht="13.5" customHeight="1" x14ac:dyDescent="0.15"/>
    <row r="357" ht="13.5" customHeight="1" x14ac:dyDescent="0.15"/>
    <row r="358" ht="13.5" customHeight="1" x14ac:dyDescent="0.15"/>
    <row r="359" ht="13.5" customHeight="1" x14ac:dyDescent="0.15"/>
    <row r="360" ht="13.5" customHeight="1" x14ac:dyDescent="0.15"/>
    <row r="361" ht="13.5" customHeight="1" x14ac:dyDescent="0.15"/>
    <row r="362" ht="13.5" customHeight="1" x14ac:dyDescent="0.15"/>
    <row r="363" ht="13.5" customHeight="1" x14ac:dyDescent="0.15"/>
    <row r="364" ht="13.5" customHeight="1" x14ac:dyDescent="0.15"/>
    <row r="365" ht="13.5" customHeight="1" x14ac:dyDescent="0.15"/>
    <row r="366" ht="13.5" customHeight="1" x14ac:dyDescent="0.15"/>
    <row r="367" ht="13.5" customHeight="1" x14ac:dyDescent="0.15"/>
    <row r="368" ht="13.5" customHeight="1" x14ac:dyDescent="0.15"/>
    <row r="369" ht="13.5" customHeight="1" x14ac:dyDescent="0.15"/>
    <row r="370" ht="13.5" customHeight="1" x14ac:dyDescent="0.15"/>
    <row r="371" ht="13.5" customHeight="1" x14ac:dyDescent="0.15"/>
    <row r="372" ht="13.5" customHeight="1" x14ac:dyDescent="0.15"/>
    <row r="373" ht="13.5" customHeight="1" x14ac:dyDescent="0.15"/>
    <row r="374" ht="13.5" customHeight="1" x14ac:dyDescent="0.15"/>
    <row r="375" ht="13.5" customHeight="1" x14ac:dyDescent="0.15"/>
    <row r="376" ht="13.5" customHeight="1" x14ac:dyDescent="0.15"/>
    <row r="377" ht="13.5" customHeight="1" x14ac:dyDescent="0.15"/>
    <row r="378" ht="13.5" customHeight="1" x14ac:dyDescent="0.15"/>
    <row r="379" ht="13.5" customHeight="1" x14ac:dyDescent="0.15"/>
    <row r="380" ht="13.5" customHeight="1" x14ac:dyDescent="0.15"/>
    <row r="381" ht="13.5" customHeight="1" x14ac:dyDescent="0.15"/>
    <row r="382" ht="13.5" customHeight="1" x14ac:dyDescent="0.15"/>
    <row r="383" ht="13.5" customHeight="1" x14ac:dyDescent="0.15"/>
    <row r="384" ht="13.5" customHeight="1" x14ac:dyDescent="0.15"/>
    <row r="385" ht="13.5" customHeight="1" x14ac:dyDescent="0.15"/>
    <row r="386" ht="13.5" customHeight="1" x14ac:dyDescent="0.15"/>
    <row r="387" ht="13.5" customHeight="1" x14ac:dyDescent="0.15"/>
    <row r="388" ht="13.5" customHeight="1" x14ac:dyDescent="0.15"/>
    <row r="389" ht="13.5" customHeight="1" x14ac:dyDescent="0.15"/>
    <row r="390" ht="13.5" customHeight="1" x14ac:dyDescent="0.15"/>
    <row r="391" ht="13.5" customHeight="1" x14ac:dyDescent="0.15"/>
    <row r="392" ht="13.5" customHeight="1" x14ac:dyDescent="0.15"/>
    <row r="393" ht="13.5" customHeight="1" x14ac:dyDescent="0.15"/>
    <row r="394" ht="13.5" customHeight="1" x14ac:dyDescent="0.15"/>
    <row r="395" ht="13.5" customHeight="1" x14ac:dyDescent="0.15"/>
    <row r="396" ht="13.5" customHeight="1" x14ac:dyDescent="0.15"/>
    <row r="397" ht="13.5" customHeight="1" x14ac:dyDescent="0.15"/>
    <row r="398" ht="13.5" customHeight="1" x14ac:dyDescent="0.15"/>
    <row r="399" ht="13.5" customHeight="1" x14ac:dyDescent="0.15"/>
    <row r="400" ht="13.5" customHeight="1" x14ac:dyDescent="0.15"/>
    <row r="401" ht="13.5" customHeight="1" x14ac:dyDescent="0.15"/>
    <row r="402" ht="13.5" customHeight="1" x14ac:dyDescent="0.15"/>
    <row r="403" ht="13.5" customHeight="1" x14ac:dyDescent="0.15"/>
    <row r="404" ht="13.5" customHeight="1" x14ac:dyDescent="0.15"/>
    <row r="405" ht="13.5" customHeight="1" x14ac:dyDescent="0.15"/>
    <row r="406" ht="13.5" customHeight="1" x14ac:dyDescent="0.15"/>
    <row r="407" ht="13.5" customHeight="1" x14ac:dyDescent="0.15"/>
    <row r="408" ht="13.5" customHeight="1" x14ac:dyDescent="0.15"/>
    <row r="409" ht="13.5" customHeight="1" x14ac:dyDescent="0.15"/>
    <row r="410" ht="13.5" customHeight="1" x14ac:dyDescent="0.15"/>
    <row r="411" ht="13.5" customHeight="1" x14ac:dyDescent="0.15"/>
    <row r="412" ht="13.5" customHeight="1" x14ac:dyDescent="0.15"/>
    <row r="413" ht="13.5" customHeight="1" x14ac:dyDescent="0.15"/>
    <row r="414" ht="13.5" customHeight="1" x14ac:dyDescent="0.15"/>
    <row r="415" ht="13.5" customHeight="1" x14ac:dyDescent="0.15"/>
    <row r="416" ht="13.5" customHeight="1" x14ac:dyDescent="0.15"/>
    <row r="417" ht="13.5" customHeight="1" x14ac:dyDescent="0.15"/>
    <row r="418" ht="13.5" customHeight="1" x14ac:dyDescent="0.15"/>
    <row r="419" ht="13.5" customHeight="1" x14ac:dyDescent="0.15"/>
    <row r="420" ht="13.5" customHeight="1" x14ac:dyDescent="0.15"/>
    <row r="421" ht="13.5" customHeight="1" x14ac:dyDescent="0.15"/>
    <row r="422" ht="13.5" customHeight="1" x14ac:dyDescent="0.15"/>
    <row r="423" ht="13.5" customHeight="1" x14ac:dyDescent="0.15"/>
    <row r="424" ht="13.5" customHeight="1" x14ac:dyDescent="0.15"/>
    <row r="425" ht="13.5" customHeight="1" x14ac:dyDescent="0.15"/>
    <row r="426" ht="13.5" customHeight="1" x14ac:dyDescent="0.15"/>
    <row r="427" ht="13.5" customHeight="1" x14ac:dyDescent="0.15"/>
    <row r="428" ht="13.5" customHeight="1" x14ac:dyDescent="0.15"/>
    <row r="429" ht="13.5" customHeight="1" x14ac:dyDescent="0.15"/>
    <row r="430" ht="13.5" customHeight="1" x14ac:dyDescent="0.15"/>
    <row r="431" ht="13.5" customHeight="1" x14ac:dyDescent="0.15"/>
    <row r="432" ht="13.5" customHeight="1" x14ac:dyDescent="0.15"/>
    <row r="433" ht="13.5" customHeight="1" x14ac:dyDescent="0.15"/>
    <row r="434" ht="13.5" customHeight="1" x14ac:dyDescent="0.15"/>
    <row r="435" ht="13.5" customHeight="1" x14ac:dyDescent="0.15"/>
    <row r="436" ht="13.5" customHeight="1" x14ac:dyDescent="0.15"/>
    <row r="437" ht="13.5" customHeight="1" x14ac:dyDescent="0.15"/>
    <row r="438" ht="13.5" customHeight="1" x14ac:dyDescent="0.15"/>
    <row r="439" ht="13.5" customHeight="1" x14ac:dyDescent="0.15"/>
    <row r="440" ht="13.5" customHeight="1" x14ac:dyDescent="0.15"/>
    <row r="441" ht="13.5" customHeight="1" x14ac:dyDescent="0.15"/>
    <row r="442" ht="13.5" customHeight="1" x14ac:dyDescent="0.15"/>
    <row r="443" ht="13.5" customHeight="1" x14ac:dyDescent="0.15"/>
    <row r="444" ht="13.5" customHeight="1" x14ac:dyDescent="0.15"/>
    <row r="445" ht="13.5" customHeight="1" x14ac:dyDescent="0.15"/>
    <row r="446" ht="13.5" customHeight="1" x14ac:dyDescent="0.15"/>
    <row r="447" ht="13.5" customHeight="1" x14ac:dyDescent="0.15"/>
    <row r="448" ht="13.5" customHeight="1" x14ac:dyDescent="0.15"/>
    <row r="449" ht="13.5" customHeight="1" x14ac:dyDescent="0.15"/>
    <row r="450" ht="13.5" customHeight="1" x14ac:dyDescent="0.15"/>
    <row r="451" ht="13.5" customHeight="1" x14ac:dyDescent="0.15"/>
    <row r="452" ht="13.5" customHeight="1" x14ac:dyDescent="0.15"/>
    <row r="453" ht="13.5" customHeight="1" x14ac:dyDescent="0.15"/>
    <row r="454" ht="13.5" customHeight="1" x14ac:dyDescent="0.15"/>
    <row r="455" ht="13.5" customHeight="1" x14ac:dyDescent="0.15"/>
    <row r="456" ht="13.5" customHeight="1" x14ac:dyDescent="0.15"/>
    <row r="457" ht="13.5" customHeight="1" x14ac:dyDescent="0.15"/>
    <row r="458" ht="13.5" customHeight="1" x14ac:dyDescent="0.15"/>
    <row r="459" ht="13.5" customHeight="1" x14ac:dyDescent="0.15"/>
    <row r="460" ht="13.5" customHeight="1" x14ac:dyDescent="0.15"/>
    <row r="461" ht="13.5" customHeight="1" x14ac:dyDescent="0.15"/>
    <row r="462" ht="13.5" customHeight="1" x14ac:dyDescent="0.15"/>
    <row r="463" ht="13.5" customHeight="1" x14ac:dyDescent="0.15"/>
    <row r="464" ht="13.5" customHeight="1" x14ac:dyDescent="0.15"/>
    <row r="465" ht="13.5" customHeight="1" x14ac:dyDescent="0.15"/>
    <row r="466" ht="13.5" customHeight="1" x14ac:dyDescent="0.15"/>
    <row r="467" ht="13.5" customHeight="1" x14ac:dyDescent="0.15"/>
    <row r="468" ht="13.5" customHeight="1" x14ac:dyDescent="0.15"/>
    <row r="469" ht="13.5" customHeight="1" x14ac:dyDescent="0.15"/>
    <row r="470" ht="13.5" customHeight="1" x14ac:dyDescent="0.15"/>
    <row r="471" ht="13.5" customHeight="1" x14ac:dyDescent="0.15"/>
    <row r="472" ht="13.5" customHeight="1" x14ac:dyDescent="0.15"/>
    <row r="473" ht="13.5" customHeight="1" x14ac:dyDescent="0.15"/>
    <row r="474" ht="13.5" customHeight="1" x14ac:dyDescent="0.15"/>
    <row r="475" ht="13.5" customHeight="1" x14ac:dyDescent="0.15"/>
    <row r="476" ht="13.5" customHeight="1" x14ac:dyDescent="0.15"/>
    <row r="477" ht="13.5" customHeight="1" x14ac:dyDescent="0.15"/>
    <row r="478" ht="13.5" customHeight="1" x14ac:dyDescent="0.15"/>
    <row r="479" ht="13.5" customHeight="1" x14ac:dyDescent="0.15"/>
    <row r="480" ht="13.5" customHeight="1" x14ac:dyDescent="0.15"/>
    <row r="481" ht="13.5" customHeight="1" x14ac:dyDescent="0.15"/>
    <row r="482" ht="13.5" customHeight="1" x14ac:dyDescent="0.15"/>
    <row r="483" ht="13.5" customHeight="1" x14ac:dyDescent="0.15"/>
    <row r="484" ht="13.5" customHeight="1" x14ac:dyDescent="0.15"/>
    <row r="485" ht="13.5" customHeight="1" x14ac:dyDescent="0.15"/>
    <row r="486" ht="13.5" customHeight="1" x14ac:dyDescent="0.15"/>
    <row r="487" ht="13.5" customHeight="1" x14ac:dyDescent="0.15"/>
    <row r="488" ht="13.5" customHeight="1" x14ac:dyDescent="0.15"/>
    <row r="489" ht="13.5" customHeight="1" x14ac:dyDescent="0.15"/>
    <row r="490" ht="13.5" customHeight="1" x14ac:dyDescent="0.15"/>
    <row r="491" ht="13.5" customHeight="1" x14ac:dyDescent="0.15"/>
    <row r="492" ht="13.5" customHeight="1" x14ac:dyDescent="0.15"/>
    <row r="493" ht="13.5" customHeight="1" x14ac:dyDescent="0.15"/>
    <row r="494" ht="13.5" customHeight="1" x14ac:dyDescent="0.15"/>
    <row r="495" ht="13.5" customHeight="1" x14ac:dyDescent="0.15"/>
    <row r="496" ht="13.5" customHeight="1" x14ac:dyDescent="0.15"/>
    <row r="497" ht="13.5" customHeight="1" x14ac:dyDescent="0.15"/>
    <row r="498" ht="13.5" customHeight="1" x14ac:dyDescent="0.15"/>
    <row r="499" ht="13.5" customHeight="1" x14ac:dyDescent="0.15"/>
    <row r="500" ht="13.5" customHeight="1" x14ac:dyDescent="0.15"/>
    <row r="501" ht="13.5" customHeight="1" x14ac:dyDescent="0.15"/>
    <row r="502" ht="13.5" customHeight="1" x14ac:dyDescent="0.15"/>
    <row r="503" ht="13.5" customHeight="1" x14ac:dyDescent="0.15"/>
    <row r="504" ht="13.5" customHeight="1" x14ac:dyDescent="0.15"/>
    <row r="505" ht="13.5" customHeight="1" x14ac:dyDescent="0.15"/>
    <row r="506" ht="13.5" customHeight="1" x14ac:dyDescent="0.15"/>
    <row r="507" ht="13.5" customHeight="1" x14ac:dyDescent="0.15"/>
    <row r="508" ht="13.5" customHeight="1" x14ac:dyDescent="0.15"/>
    <row r="509" ht="13.5" customHeight="1" x14ac:dyDescent="0.15"/>
    <row r="510" ht="13.5" customHeight="1" x14ac:dyDescent="0.15"/>
    <row r="511" ht="13.5" customHeight="1" x14ac:dyDescent="0.15"/>
    <row r="512" ht="13.5" customHeight="1" x14ac:dyDescent="0.15"/>
    <row r="513" ht="13.5" customHeight="1" x14ac:dyDescent="0.15"/>
    <row r="514" ht="13.5" customHeight="1" x14ac:dyDescent="0.15"/>
    <row r="515" ht="13.5" customHeight="1" x14ac:dyDescent="0.15"/>
    <row r="516" ht="13.5" customHeight="1" x14ac:dyDescent="0.15"/>
    <row r="517" ht="13.5" customHeight="1" x14ac:dyDescent="0.15"/>
    <row r="518" ht="13.5" customHeight="1" x14ac:dyDescent="0.15"/>
    <row r="519" ht="13.5" customHeight="1" x14ac:dyDescent="0.15"/>
    <row r="520" ht="13.5" customHeight="1" x14ac:dyDescent="0.15"/>
    <row r="521" ht="13.5" customHeight="1" x14ac:dyDescent="0.15"/>
    <row r="522" ht="13.5" customHeight="1" x14ac:dyDescent="0.15"/>
    <row r="523" ht="13.5" customHeight="1" x14ac:dyDescent="0.15"/>
    <row r="524" ht="13.5" customHeight="1" x14ac:dyDescent="0.15"/>
    <row r="525" ht="13.5" customHeight="1" x14ac:dyDescent="0.15"/>
    <row r="526" ht="13.5" customHeight="1" x14ac:dyDescent="0.15"/>
    <row r="527" ht="13.5" customHeight="1" x14ac:dyDescent="0.15"/>
    <row r="528" ht="13.5" customHeight="1" x14ac:dyDescent="0.15"/>
    <row r="529" ht="13.5" customHeight="1" x14ac:dyDescent="0.15"/>
    <row r="530" ht="13.5" customHeight="1" x14ac:dyDescent="0.15"/>
    <row r="531" ht="13.5" customHeight="1" x14ac:dyDescent="0.15"/>
    <row r="532" ht="13.5" customHeight="1" x14ac:dyDescent="0.15"/>
    <row r="533" ht="13.5" customHeight="1" x14ac:dyDescent="0.15"/>
    <row r="534" ht="13.5" customHeight="1" x14ac:dyDescent="0.15"/>
    <row r="535" ht="13.5" customHeight="1" x14ac:dyDescent="0.15"/>
    <row r="536" ht="13.5" customHeight="1" x14ac:dyDescent="0.15"/>
    <row r="537" ht="13.5" customHeight="1" x14ac:dyDescent="0.15"/>
    <row r="538" ht="13.5" customHeight="1" x14ac:dyDescent="0.15"/>
    <row r="539" ht="13.5" customHeight="1" x14ac:dyDescent="0.15"/>
    <row r="540" ht="13.5" customHeight="1" x14ac:dyDescent="0.15"/>
    <row r="541" ht="13.5" customHeight="1" x14ac:dyDescent="0.15"/>
    <row r="542" ht="13.5" customHeight="1" x14ac:dyDescent="0.15"/>
    <row r="543" ht="13.5" customHeight="1" x14ac:dyDescent="0.15"/>
    <row r="544" ht="13.5" customHeight="1" x14ac:dyDescent="0.15"/>
    <row r="545" ht="13.5" customHeight="1" x14ac:dyDescent="0.15"/>
    <row r="546" ht="13.5" customHeight="1" x14ac:dyDescent="0.15"/>
    <row r="547" ht="13.5" customHeight="1" x14ac:dyDescent="0.15"/>
    <row r="548" ht="13.5" customHeight="1" x14ac:dyDescent="0.15"/>
    <row r="549" ht="13.5" customHeight="1" x14ac:dyDescent="0.15"/>
    <row r="550" ht="13.5" customHeight="1" x14ac:dyDescent="0.15"/>
    <row r="551" ht="13.5" customHeight="1" x14ac:dyDescent="0.15"/>
    <row r="552" ht="13.5" customHeight="1" x14ac:dyDescent="0.15"/>
    <row r="553" ht="13.5" customHeight="1" x14ac:dyDescent="0.15"/>
    <row r="554" ht="13.5" customHeight="1" x14ac:dyDescent="0.15"/>
    <row r="555" ht="13.5" customHeight="1" x14ac:dyDescent="0.15"/>
    <row r="556" ht="13.5" customHeight="1" x14ac:dyDescent="0.15"/>
    <row r="557" ht="13.5" customHeight="1" x14ac:dyDescent="0.15"/>
    <row r="558" ht="13.5" customHeight="1" x14ac:dyDescent="0.15"/>
    <row r="559" ht="13.5" customHeight="1" x14ac:dyDescent="0.15"/>
    <row r="560" ht="13.5" customHeight="1" x14ac:dyDescent="0.15"/>
    <row r="561" ht="13.5" customHeight="1" x14ac:dyDescent="0.15"/>
    <row r="562" ht="13.5" customHeight="1" x14ac:dyDescent="0.15"/>
    <row r="563" ht="13.5" customHeight="1" x14ac:dyDescent="0.15"/>
    <row r="564" ht="13.5" customHeight="1" x14ac:dyDescent="0.15"/>
    <row r="565" ht="13.5" customHeight="1" x14ac:dyDescent="0.15"/>
    <row r="566" ht="13.5" customHeight="1" x14ac:dyDescent="0.15"/>
    <row r="567" ht="13.5" customHeight="1" x14ac:dyDescent="0.15"/>
    <row r="568" ht="13.5" customHeight="1" x14ac:dyDescent="0.15"/>
    <row r="569" ht="13.5" customHeight="1" x14ac:dyDescent="0.15"/>
    <row r="570" ht="13.5" customHeight="1" x14ac:dyDescent="0.15"/>
    <row r="571" ht="13.5" customHeight="1" x14ac:dyDescent="0.15"/>
    <row r="572" ht="13.5" customHeight="1" x14ac:dyDescent="0.15"/>
    <row r="573" ht="13.5" customHeight="1" x14ac:dyDescent="0.15"/>
    <row r="574" ht="13.5" customHeight="1" x14ac:dyDescent="0.15"/>
    <row r="575" ht="13.5" customHeight="1" x14ac:dyDescent="0.15"/>
    <row r="576" ht="13.5" customHeight="1" x14ac:dyDescent="0.15"/>
    <row r="577" ht="13.5" customHeight="1" x14ac:dyDescent="0.15"/>
    <row r="578" ht="13.5" customHeight="1" x14ac:dyDescent="0.15"/>
    <row r="579" ht="13.5" customHeight="1" x14ac:dyDescent="0.15"/>
    <row r="580" ht="13.5" customHeight="1" x14ac:dyDescent="0.15"/>
    <row r="581" ht="13.5" customHeight="1" x14ac:dyDescent="0.15"/>
    <row r="582" ht="13.5" customHeight="1" x14ac:dyDescent="0.15"/>
    <row r="583" ht="13.5" customHeight="1" x14ac:dyDescent="0.15"/>
    <row r="584" ht="13.5" customHeight="1" x14ac:dyDescent="0.15"/>
    <row r="585" ht="13.5" customHeight="1" x14ac:dyDescent="0.15"/>
    <row r="586" ht="13.5" customHeight="1" x14ac:dyDescent="0.15"/>
    <row r="587" ht="13.5" customHeight="1" x14ac:dyDescent="0.15"/>
    <row r="588" ht="13.5" customHeight="1" x14ac:dyDescent="0.15"/>
    <row r="589" ht="13.5" customHeight="1" x14ac:dyDescent="0.15"/>
    <row r="590" ht="13.5" customHeight="1" x14ac:dyDescent="0.15"/>
    <row r="591" ht="13.5" customHeight="1" x14ac:dyDescent="0.15"/>
    <row r="592" ht="13.5" customHeight="1" x14ac:dyDescent="0.15"/>
    <row r="593" ht="13.5" customHeight="1" x14ac:dyDescent="0.15"/>
    <row r="594" ht="13.5" customHeight="1" x14ac:dyDescent="0.15"/>
    <row r="595" ht="13.5" customHeight="1" x14ac:dyDescent="0.15"/>
    <row r="596" ht="13.5" customHeight="1" x14ac:dyDescent="0.15"/>
    <row r="597" ht="13.5" customHeight="1" x14ac:dyDescent="0.15"/>
    <row r="598" ht="13.5" customHeight="1" x14ac:dyDescent="0.15"/>
    <row r="599" ht="13.5" customHeight="1" x14ac:dyDescent="0.15"/>
    <row r="600" ht="13.5" customHeight="1" x14ac:dyDescent="0.15"/>
    <row r="601" ht="13.5" customHeight="1" x14ac:dyDescent="0.15"/>
    <row r="602" ht="13.5" customHeight="1" x14ac:dyDescent="0.15"/>
    <row r="603" ht="13.5" customHeight="1" x14ac:dyDescent="0.15"/>
    <row r="604" ht="13.5" customHeight="1" x14ac:dyDescent="0.15"/>
    <row r="605" ht="13.5" customHeight="1" x14ac:dyDescent="0.15"/>
    <row r="606" ht="13.5" customHeight="1" x14ac:dyDescent="0.15"/>
    <row r="607" ht="13.5" customHeight="1" x14ac:dyDescent="0.15"/>
    <row r="608" ht="13.5" customHeight="1" x14ac:dyDescent="0.15"/>
    <row r="609" ht="13.5" customHeight="1" x14ac:dyDescent="0.15"/>
    <row r="610" ht="13.5" customHeight="1" x14ac:dyDescent="0.15"/>
    <row r="611" ht="13.5" customHeight="1" x14ac:dyDescent="0.15"/>
    <row r="612" ht="13.5" customHeight="1" x14ac:dyDescent="0.15"/>
    <row r="613" ht="13.5" customHeight="1" x14ac:dyDescent="0.15"/>
    <row r="614" ht="13.5" customHeight="1" x14ac:dyDescent="0.15"/>
    <row r="615" ht="13.5" customHeight="1" x14ac:dyDescent="0.15"/>
    <row r="616" ht="13.5" customHeight="1" x14ac:dyDescent="0.15"/>
    <row r="617" ht="13.5" customHeight="1" x14ac:dyDescent="0.15"/>
    <row r="618" ht="13.5" customHeight="1" x14ac:dyDescent="0.15"/>
    <row r="619" ht="13.5" customHeight="1" x14ac:dyDescent="0.15"/>
    <row r="620" ht="13.5" customHeight="1" x14ac:dyDescent="0.15"/>
    <row r="621" ht="13.5" customHeight="1" x14ac:dyDescent="0.15"/>
    <row r="622" ht="13.5" customHeight="1" x14ac:dyDescent="0.15"/>
    <row r="623" ht="13.5" customHeight="1" x14ac:dyDescent="0.15"/>
    <row r="624" ht="13.5" customHeight="1" x14ac:dyDescent="0.15"/>
    <row r="625" ht="13.5" customHeight="1" x14ac:dyDescent="0.15"/>
    <row r="626" ht="13.5" customHeight="1" x14ac:dyDescent="0.15"/>
    <row r="627" ht="13.5" customHeight="1" x14ac:dyDescent="0.15"/>
    <row r="628" ht="13.5" customHeight="1" x14ac:dyDescent="0.15"/>
    <row r="629" ht="13.5" customHeight="1" x14ac:dyDescent="0.15"/>
    <row r="630" ht="13.5" customHeight="1" x14ac:dyDescent="0.15"/>
    <row r="631" ht="13.5" customHeight="1" x14ac:dyDescent="0.15"/>
    <row r="632" ht="13.5" customHeight="1" x14ac:dyDescent="0.15"/>
    <row r="633" ht="13.5" customHeight="1" x14ac:dyDescent="0.15"/>
    <row r="634" ht="13.5" customHeight="1" x14ac:dyDescent="0.15"/>
    <row r="635" ht="13.5" customHeight="1" x14ac:dyDescent="0.15"/>
    <row r="636" ht="13.5" customHeight="1" x14ac:dyDescent="0.15"/>
    <row r="637" ht="13.5" customHeight="1" x14ac:dyDescent="0.15"/>
    <row r="638" ht="13.5" customHeight="1" x14ac:dyDescent="0.15"/>
    <row r="639" ht="13.5" customHeight="1" x14ac:dyDescent="0.15"/>
    <row r="640" ht="13.5" customHeight="1" x14ac:dyDescent="0.15"/>
    <row r="641" ht="13.5" customHeight="1" x14ac:dyDescent="0.15"/>
    <row r="642" ht="13.5" customHeight="1" x14ac:dyDescent="0.15"/>
    <row r="643" ht="13.5" customHeight="1" x14ac:dyDescent="0.15"/>
    <row r="644" ht="13.5" customHeight="1" x14ac:dyDescent="0.15"/>
    <row r="645" ht="13.5" customHeight="1" x14ac:dyDescent="0.15"/>
    <row r="646" ht="13.5" customHeight="1" x14ac:dyDescent="0.15"/>
    <row r="647" ht="13.5" customHeight="1" x14ac:dyDescent="0.15"/>
    <row r="648" ht="13.5" customHeight="1" x14ac:dyDescent="0.15"/>
    <row r="649" ht="13.5" customHeight="1" x14ac:dyDescent="0.15"/>
    <row r="650" ht="13.5" customHeight="1" x14ac:dyDescent="0.15"/>
    <row r="651" ht="13.5" customHeight="1" x14ac:dyDescent="0.15"/>
    <row r="652" ht="13.5" customHeight="1" x14ac:dyDescent="0.15"/>
    <row r="653" ht="13.5" customHeight="1" x14ac:dyDescent="0.15"/>
    <row r="654" ht="13.5" customHeight="1" x14ac:dyDescent="0.15"/>
    <row r="655" ht="13.5" customHeight="1" x14ac:dyDescent="0.15"/>
    <row r="656" ht="13.5" customHeight="1" x14ac:dyDescent="0.15"/>
    <row r="657" ht="13.5" customHeight="1" x14ac:dyDescent="0.15"/>
    <row r="658" ht="13.5" customHeight="1" x14ac:dyDescent="0.15"/>
    <row r="659" ht="13.5" customHeight="1" x14ac:dyDescent="0.15"/>
    <row r="660" ht="13.5" customHeight="1" x14ac:dyDescent="0.15"/>
    <row r="661" ht="13.5" customHeight="1" x14ac:dyDescent="0.15"/>
    <row r="662" ht="13.5" customHeight="1" x14ac:dyDescent="0.15"/>
    <row r="663" ht="13.5" customHeight="1" x14ac:dyDescent="0.15"/>
    <row r="664" ht="13.5" customHeight="1" x14ac:dyDescent="0.15"/>
    <row r="665" ht="13.5" customHeight="1" x14ac:dyDescent="0.15"/>
    <row r="666" ht="13.5" customHeight="1" x14ac:dyDescent="0.15"/>
    <row r="667" ht="13.5" customHeight="1" x14ac:dyDescent="0.15"/>
    <row r="668" ht="13.5" customHeight="1" x14ac:dyDescent="0.15"/>
    <row r="669" ht="13.5" customHeight="1" x14ac:dyDescent="0.15"/>
    <row r="670" ht="13.5" customHeight="1" x14ac:dyDescent="0.15"/>
    <row r="671" ht="13.5" customHeight="1" x14ac:dyDescent="0.15"/>
    <row r="672" ht="13.5" customHeight="1" x14ac:dyDescent="0.15"/>
    <row r="673" ht="13.5" customHeight="1" x14ac:dyDescent="0.15"/>
    <row r="674" ht="13.5" customHeight="1" x14ac:dyDescent="0.15"/>
    <row r="675" ht="13.5" customHeight="1" x14ac:dyDescent="0.15"/>
    <row r="676" ht="13.5" customHeight="1" x14ac:dyDescent="0.15"/>
    <row r="677" ht="13.5" customHeight="1" x14ac:dyDescent="0.15"/>
    <row r="678" ht="13.5" customHeight="1" x14ac:dyDescent="0.15"/>
    <row r="679" ht="13.5" customHeight="1" x14ac:dyDescent="0.15"/>
    <row r="680" ht="13.5" customHeight="1" x14ac:dyDescent="0.15"/>
    <row r="681" ht="13.5" customHeight="1" x14ac:dyDescent="0.15"/>
    <row r="682" ht="13.5" customHeight="1" x14ac:dyDescent="0.15"/>
    <row r="683" ht="13.5" customHeight="1" x14ac:dyDescent="0.15"/>
    <row r="684" ht="13.5" customHeight="1" x14ac:dyDescent="0.15"/>
    <row r="685" ht="13.5" customHeight="1" x14ac:dyDescent="0.15"/>
    <row r="686" ht="13.5" customHeight="1" x14ac:dyDescent="0.15"/>
    <row r="687" ht="13.5" customHeight="1" x14ac:dyDescent="0.15"/>
    <row r="688" ht="13.5" customHeight="1" x14ac:dyDescent="0.15"/>
    <row r="689" ht="13.5" customHeight="1" x14ac:dyDescent="0.15"/>
    <row r="690" ht="13.5" customHeight="1" x14ac:dyDescent="0.15"/>
    <row r="691" ht="13.5" customHeight="1" x14ac:dyDescent="0.15"/>
    <row r="692" ht="13.5" customHeight="1" x14ac:dyDescent="0.15"/>
    <row r="693" ht="13.5" customHeight="1" x14ac:dyDescent="0.15"/>
    <row r="694" ht="13.5" customHeight="1" x14ac:dyDescent="0.15"/>
    <row r="695" ht="13.5" customHeight="1" x14ac:dyDescent="0.15"/>
    <row r="696" ht="13.5" customHeight="1" x14ac:dyDescent="0.15"/>
    <row r="697" ht="13.5" customHeight="1" x14ac:dyDescent="0.15"/>
    <row r="698" ht="13.5" customHeight="1" x14ac:dyDescent="0.15"/>
    <row r="699" ht="13.5" customHeight="1" x14ac:dyDescent="0.15"/>
    <row r="700" ht="13.5" customHeight="1" x14ac:dyDescent="0.15"/>
    <row r="701" ht="13.5" customHeight="1" x14ac:dyDescent="0.15"/>
    <row r="702" ht="13.5" customHeight="1" x14ac:dyDescent="0.15"/>
    <row r="703" ht="13.5" customHeight="1" x14ac:dyDescent="0.15"/>
    <row r="704" ht="13.5" customHeight="1" x14ac:dyDescent="0.15"/>
    <row r="705" ht="13.5" customHeight="1" x14ac:dyDescent="0.15"/>
    <row r="706" ht="13.5" customHeight="1" x14ac:dyDescent="0.15"/>
    <row r="707" ht="13.5" customHeight="1" x14ac:dyDescent="0.15"/>
    <row r="708" ht="13.5" customHeight="1" x14ac:dyDescent="0.15"/>
    <row r="709" ht="13.5" customHeight="1" x14ac:dyDescent="0.15"/>
    <row r="710" ht="13.5" customHeight="1" x14ac:dyDescent="0.15"/>
    <row r="711" ht="13.5" customHeight="1" x14ac:dyDescent="0.15"/>
    <row r="712" ht="13.5" customHeight="1" x14ac:dyDescent="0.15"/>
    <row r="713" ht="13.5" customHeight="1" x14ac:dyDescent="0.15"/>
    <row r="714" ht="13.5" customHeight="1" x14ac:dyDescent="0.15"/>
    <row r="715" ht="13.5" customHeight="1" x14ac:dyDescent="0.15"/>
    <row r="716" ht="13.5" customHeight="1" x14ac:dyDescent="0.15"/>
    <row r="717" ht="13.5" customHeight="1" x14ac:dyDescent="0.15"/>
    <row r="718" ht="13.5" customHeight="1" x14ac:dyDescent="0.15"/>
    <row r="719" ht="13.5" customHeight="1" x14ac:dyDescent="0.15"/>
    <row r="720" ht="13.5" customHeight="1" x14ac:dyDescent="0.15"/>
    <row r="721" ht="13.5" customHeight="1" x14ac:dyDescent="0.15"/>
    <row r="722" ht="13.5" customHeight="1" x14ac:dyDescent="0.15"/>
    <row r="723" ht="13.5" customHeight="1" x14ac:dyDescent="0.15"/>
    <row r="724" ht="13.5" customHeight="1" x14ac:dyDescent="0.15"/>
    <row r="725" ht="13.5" customHeight="1" x14ac:dyDescent="0.15"/>
    <row r="726" ht="13.5" customHeight="1" x14ac:dyDescent="0.15"/>
    <row r="727" ht="13.5" customHeight="1" x14ac:dyDescent="0.15"/>
    <row r="728" ht="13.5" customHeight="1" x14ac:dyDescent="0.15"/>
    <row r="729" ht="13.5" customHeight="1" x14ac:dyDescent="0.15"/>
    <row r="730" ht="13.5" customHeight="1" x14ac:dyDescent="0.15"/>
    <row r="731" ht="13.5" customHeight="1" x14ac:dyDescent="0.15"/>
    <row r="732" ht="13.5" customHeight="1" x14ac:dyDescent="0.15"/>
    <row r="733" ht="13.5" customHeight="1" x14ac:dyDescent="0.15"/>
    <row r="734" ht="13.5" customHeight="1" x14ac:dyDescent="0.15"/>
    <row r="735" ht="13.5" customHeight="1" x14ac:dyDescent="0.15"/>
    <row r="736" ht="13.5" customHeight="1" x14ac:dyDescent="0.15"/>
    <row r="737" ht="13.5" customHeight="1" x14ac:dyDescent="0.15"/>
    <row r="738" ht="13.5" customHeight="1" x14ac:dyDescent="0.15"/>
    <row r="739" ht="13.5" customHeight="1" x14ac:dyDescent="0.15"/>
    <row r="740" ht="13.5" customHeight="1" x14ac:dyDescent="0.15"/>
    <row r="741" ht="13.5" customHeight="1" x14ac:dyDescent="0.15"/>
    <row r="742" ht="13.5" customHeight="1" x14ac:dyDescent="0.15"/>
    <row r="743" ht="13.5" customHeight="1" x14ac:dyDescent="0.15"/>
    <row r="744" ht="13.5" customHeight="1" x14ac:dyDescent="0.15"/>
    <row r="745" ht="13.5" customHeight="1" x14ac:dyDescent="0.15"/>
    <row r="746" ht="13.5" customHeight="1" x14ac:dyDescent="0.15"/>
    <row r="747" ht="13.5" customHeight="1" x14ac:dyDescent="0.15"/>
    <row r="748" ht="13.5" customHeight="1" x14ac:dyDescent="0.15"/>
    <row r="749" ht="13.5" customHeight="1" x14ac:dyDescent="0.15"/>
    <row r="750" ht="13.5" customHeight="1" x14ac:dyDescent="0.15"/>
    <row r="751" ht="13.5" customHeight="1" x14ac:dyDescent="0.15"/>
    <row r="752" ht="13.5" customHeight="1" x14ac:dyDescent="0.15"/>
    <row r="753" ht="13.5" customHeight="1" x14ac:dyDescent="0.15"/>
    <row r="754" ht="13.5" customHeight="1" x14ac:dyDescent="0.15"/>
    <row r="755" ht="13.5" customHeight="1" x14ac:dyDescent="0.15"/>
    <row r="756" ht="13.5" customHeight="1" x14ac:dyDescent="0.15"/>
    <row r="757" ht="13.5" customHeight="1" x14ac:dyDescent="0.15"/>
    <row r="758" ht="13.5" customHeight="1" x14ac:dyDescent="0.15"/>
    <row r="759" ht="13.5" customHeight="1" x14ac:dyDescent="0.15"/>
    <row r="760" ht="13.5" customHeight="1" x14ac:dyDescent="0.15"/>
    <row r="761" ht="13.5" customHeight="1" x14ac:dyDescent="0.15"/>
    <row r="762" ht="13.5" customHeight="1" x14ac:dyDescent="0.15"/>
    <row r="763" ht="13.5" customHeight="1" x14ac:dyDescent="0.15"/>
    <row r="764" ht="13.5" customHeight="1" x14ac:dyDescent="0.15"/>
    <row r="765" ht="13.5" customHeight="1" x14ac:dyDescent="0.15"/>
    <row r="766" ht="13.5" customHeight="1" x14ac:dyDescent="0.15"/>
    <row r="767" ht="13.5" customHeight="1" x14ac:dyDescent="0.15"/>
    <row r="768" ht="13.5" customHeight="1" x14ac:dyDescent="0.15"/>
    <row r="769" ht="13.5" customHeight="1" x14ac:dyDescent="0.15"/>
    <row r="770" ht="13.5" customHeight="1" x14ac:dyDescent="0.15"/>
    <row r="771" ht="13.5" customHeight="1" x14ac:dyDescent="0.15"/>
    <row r="772" ht="13.5" customHeight="1" x14ac:dyDescent="0.15"/>
    <row r="773" ht="13.5" customHeight="1" x14ac:dyDescent="0.15"/>
    <row r="774" ht="13.5" customHeight="1" x14ac:dyDescent="0.15"/>
    <row r="775" ht="13.5" customHeight="1" x14ac:dyDescent="0.15"/>
    <row r="776" ht="13.5" customHeight="1" x14ac:dyDescent="0.15"/>
    <row r="777" ht="13.5" customHeight="1" x14ac:dyDescent="0.15"/>
    <row r="778" ht="13.5" customHeight="1" x14ac:dyDescent="0.15"/>
    <row r="779" ht="13.5" customHeight="1" x14ac:dyDescent="0.15"/>
    <row r="780" ht="13.5" customHeight="1" x14ac:dyDescent="0.15"/>
    <row r="781" ht="13.5" customHeight="1" x14ac:dyDescent="0.15"/>
    <row r="782" ht="13.5" customHeight="1" x14ac:dyDescent="0.15"/>
    <row r="783" ht="13.5" customHeight="1" x14ac:dyDescent="0.15"/>
    <row r="784" ht="13.5" customHeight="1" x14ac:dyDescent="0.15"/>
    <row r="785" ht="13.5" customHeight="1" x14ac:dyDescent="0.15"/>
    <row r="786" ht="13.5" customHeight="1" x14ac:dyDescent="0.15"/>
    <row r="787" ht="13.5" customHeight="1" x14ac:dyDescent="0.15"/>
    <row r="788" ht="13.5" customHeight="1" x14ac:dyDescent="0.15"/>
    <row r="789" ht="13.5" customHeight="1" x14ac:dyDescent="0.15"/>
    <row r="790" ht="13.5" customHeight="1" x14ac:dyDescent="0.15"/>
    <row r="791" ht="13.5" customHeight="1" x14ac:dyDescent="0.15"/>
    <row r="792" ht="13.5" customHeight="1" x14ac:dyDescent="0.15"/>
    <row r="793" ht="13.5" customHeight="1" x14ac:dyDescent="0.15"/>
    <row r="794" ht="13.5" customHeight="1" x14ac:dyDescent="0.15"/>
    <row r="795" ht="13.5" customHeight="1" x14ac:dyDescent="0.15"/>
    <row r="796" ht="13.5" customHeight="1" x14ac:dyDescent="0.15"/>
    <row r="797" ht="13.5" customHeight="1" x14ac:dyDescent="0.15"/>
    <row r="798" ht="13.5" customHeight="1" x14ac:dyDescent="0.15"/>
    <row r="799" ht="13.5" customHeight="1" x14ac:dyDescent="0.15"/>
    <row r="800" ht="13.5" customHeight="1" x14ac:dyDescent="0.15"/>
    <row r="801" ht="13.5" customHeight="1" x14ac:dyDescent="0.15"/>
    <row r="802" ht="13.5" customHeight="1" x14ac:dyDescent="0.15"/>
    <row r="803" ht="13.5" customHeight="1" x14ac:dyDescent="0.15"/>
    <row r="804" ht="13.5" customHeight="1" x14ac:dyDescent="0.15"/>
    <row r="805" ht="13.5" customHeight="1" x14ac:dyDescent="0.15"/>
    <row r="806" ht="13.5" customHeight="1" x14ac:dyDescent="0.15"/>
    <row r="807" ht="13.5" customHeight="1" x14ac:dyDescent="0.15"/>
    <row r="808" ht="13.5" customHeight="1" x14ac:dyDescent="0.15"/>
    <row r="809" ht="13.5" customHeight="1" x14ac:dyDescent="0.15"/>
    <row r="810" ht="13.5" customHeight="1" x14ac:dyDescent="0.15"/>
    <row r="811" ht="13.5" customHeight="1" x14ac:dyDescent="0.15"/>
    <row r="812" ht="13.5" customHeight="1" x14ac:dyDescent="0.15"/>
    <row r="813" ht="13.5" customHeight="1" x14ac:dyDescent="0.15"/>
    <row r="814" ht="13.5" customHeight="1" x14ac:dyDescent="0.15"/>
    <row r="815" ht="13.5" customHeight="1" x14ac:dyDescent="0.15"/>
    <row r="816" ht="13.5" customHeight="1" x14ac:dyDescent="0.15"/>
    <row r="817" ht="13.5" customHeight="1" x14ac:dyDescent="0.15"/>
    <row r="818" ht="13.5" customHeight="1" x14ac:dyDescent="0.15"/>
    <row r="819" ht="13.5" customHeight="1" x14ac:dyDescent="0.15"/>
    <row r="820" ht="13.5" customHeight="1" x14ac:dyDescent="0.15"/>
    <row r="821" ht="13.5" customHeight="1" x14ac:dyDescent="0.15"/>
    <row r="822" ht="13.5" customHeight="1" x14ac:dyDescent="0.15"/>
    <row r="823" ht="13.5" customHeight="1" x14ac:dyDescent="0.15"/>
    <row r="824" ht="13.5" customHeight="1" x14ac:dyDescent="0.15"/>
    <row r="825" ht="13.5" customHeight="1" x14ac:dyDescent="0.15"/>
    <row r="826" ht="13.5" customHeight="1" x14ac:dyDescent="0.15"/>
    <row r="827" ht="13.5" customHeight="1" x14ac:dyDescent="0.15"/>
    <row r="828" ht="13.5" customHeight="1" x14ac:dyDescent="0.15"/>
    <row r="829" ht="13.5" customHeight="1" x14ac:dyDescent="0.15"/>
    <row r="830" ht="13.5" customHeight="1" x14ac:dyDescent="0.15"/>
    <row r="831" ht="13.5" customHeight="1" x14ac:dyDescent="0.15"/>
    <row r="832" ht="13.5" customHeight="1" x14ac:dyDescent="0.15"/>
    <row r="833" ht="13.5" customHeight="1" x14ac:dyDescent="0.15"/>
    <row r="834" ht="13.5" customHeight="1" x14ac:dyDescent="0.15"/>
    <row r="835" ht="13.5" customHeight="1" x14ac:dyDescent="0.15"/>
    <row r="836" ht="13.5" customHeight="1" x14ac:dyDescent="0.15"/>
    <row r="837" ht="13.5" customHeight="1" x14ac:dyDescent="0.15"/>
    <row r="838" ht="13.5" customHeight="1" x14ac:dyDescent="0.15"/>
    <row r="839" ht="13.5" customHeight="1" x14ac:dyDescent="0.15"/>
    <row r="840" ht="13.5" customHeight="1" x14ac:dyDescent="0.15"/>
    <row r="841" ht="13.5" customHeight="1" x14ac:dyDescent="0.15"/>
    <row r="842" ht="13.5" customHeight="1" x14ac:dyDescent="0.15"/>
    <row r="843" ht="13.5" customHeight="1" x14ac:dyDescent="0.15"/>
    <row r="844" ht="13.5" customHeight="1" x14ac:dyDescent="0.15"/>
    <row r="845" ht="13.5" customHeight="1" x14ac:dyDescent="0.15"/>
    <row r="846" ht="13.5" customHeight="1" x14ac:dyDescent="0.15"/>
    <row r="847" ht="13.5" customHeight="1" x14ac:dyDescent="0.15"/>
    <row r="848" ht="13.5" customHeight="1" x14ac:dyDescent="0.15"/>
    <row r="849" ht="13.5" customHeight="1" x14ac:dyDescent="0.15"/>
    <row r="850" ht="13.5" customHeight="1" x14ac:dyDescent="0.15"/>
    <row r="851" ht="13.5" customHeight="1" x14ac:dyDescent="0.15"/>
    <row r="852" ht="13.5" customHeight="1" x14ac:dyDescent="0.15"/>
    <row r="853" ht="13.5" customHeight="1" x14ac:dyDescent="0.15"/>
    <row r="854" ht="13.5" customHeight="1" x14ac:dyDescent="0.15"/>
    <row r="855" ht="13.5" customHeight="1" x14ac:dyDescent="0.15"/>
    <row r="856" ht="13.5" customHeight="1" x14ac:dyDescent="0.15"/>
    <row r="857" ht="13.5" customHeight="1" x14ac:dyDescent="0.15"/>
    <row r="858" ht="13.5" customHeight="1" x14ac:dyDescent="0.15"/>
    <row r="859" ht="13.5" customHeight="1" x14ac:dyDescent="0.15"/>
    <row r="860" ht="13.5" customHeight="1" x14ac:dyDescent="0.15"/>
    <row r="861" ht="13.5" customHeight="1" x14ac:dyDescent="0.15"/>
    <row r="862" ht="13.5" customHeight="1" x14ac:dyDescent="0.15"/>
    <row r="863" ht="13.5" customHeight="1" x14ac:dyDescent="0.15"/>
    <row r="864" ht="13.5" customHeight="1" x14ac:dyDescent="0.15"/>
    <row r="865" ht="13.5" customHeight="1" x14ac:dyDescent="0.15"/>
    <row r="866" ht="13.5" customHeight="1" x14ac:dyDescent="0.15"/>
    <row r="867" ht="13.5" customHeight="1" x14ac:dyDescent="0.15"/>
    <row r="868" ht="13.5" customHeight="1" x14ac:dyDescent="0.15"/>
    <row r="869" ht="13.5" customHeight="1" x14ac:dyDescent="0.15"/>
    <row r="870" ht="13.5" customHeight="1" x14ac:dyDescent="0.15"/>
    <row r="871" ht="13.5" customHeight="1" x14ac:dyDescent="0.15"/>
    <row r="872" ht="13.5" customHeight="1" x14ac:dyDescent="0.15"/>
    <row r="873" ht="13.5" customHeight="1" x14ac:dyDescent="0.15"/>
    <row r="874" ht="13.5" customHeight="1" x14ac:dyDescent="0.15"/>
    <row r="875" ht="13.5" customHeight="1" x14ac:dyDescent="0.15"/>
    <row r="876" ht="13.5" customHeight="1" x14ac:dyDescent="0.15"/>
    <row r="877" ht="13.5" customHeight="1" x14ac:dyDescent="0.15"/>
    <row r="878" ht="13.5" customHeight="1" x14ac:dyDescent="0.15"/>
    <row r="879" ht="13.5" customHeight="1" x14ac:dyDescent="0.15"/>
    <row r="880" ht="13.5" customHeight="1" x14ac:dyDescent="0.15"/>
    <row r="881" ht="13.5" customHeight="1" x14ac:dyDescent="0.15"/>
    <row r="882" ht="13.5" customHeight="1" x14ac:dyDescent="0.15"/>
    <row r="883" ht="13.5" customHeight="1" x14ac:dyDescent="0.15"/>
    <row r="884" ht="13.5" customHeight="1" x14ac:dyDescent="0.15"/>
    <row r="885" ht="13.5" customHeight="1" x14ac:dyDescent="0.15"/>
    <row r="886" ht="13.5" customHeight="1" x14ac:dyDescent="0.15"/>
    <row r="887" ht="13.5" customHeight="1" x14ac:dyDescent="0.15"/>
    <row r="888" ht="13.5" customHeight="1" x14ac:dyDescent="0.15"/>
    <row r="889" ht="13.5" customHeight="1" x14ac:dyDescent="0.15"/>
    <row r="890" ht="13.5" customHeight="1" x14ac:dyDescent="0.15"/>
    <row r="891" ht="13.5" customHeight="1" x14ac:dyDescent="0.15"/>
    <row r="892" ht="13.5" customHeight="1" x14ac:dyDescent="0.15"/>
    <row r="893" ht="13.5" customHeight="1" x14ac:dyDescent="0.15"/>
    <row r="894" ht="13.5" customHeight="1" x14ac:dyDescent="0.15"/>
    <row r="895" ht="13.5" customHeight="1" x14ac:dyDescent="0.15"/>
    <row r="896" ht="13.5" customHeight="1" x14ac:dyDescent="0.15"/>
    <row r="897" ht="13.5" customHeight="1" x14ac:dyDescent="0.15"/>
    <row r="898" ht="13.5" customHeight="1" x14ac:dyDescent="0.15"/>
    <row r="899" ht="13.5" customHeight="1" x14ac:dyDescent="0.15"/>
    <row r="900" ht="13.5" customHeight="1" x14ac:dyDescent="0.15"/>
    <row r="901" ht="13.5" customHeight="1" x14ac:dyDescent="0.15"/>
    <row r="902" ht="13.5" customHeight="1" x14ac:dyDescent="0.15"/>
    <row r="903" ht="13.5" customHeight="1" x14ac:dyDescent="0.15"/>
    <row r="904" ht="13.5" customHeight="1" x14ac:dyDescent="0.15"/>
    <row r="905" ht="13.5" customHeight="1" x14ac:dyDescent="0.15"/>
    <row r="906" ht="13.5" customHeight="1" x14ac:dyDescent="0.15"/>
    <row r="907" ht="13.5" customHeight="1" x14ac:dyDescent="0.15"/>
    <row r="908" ht="13.5" customHeight="1" x14ac:dyDescent="0.15"/>
    <row r="909" ht="13.5" customHeight="1" x14ac:dyDescent="0.15"/>
    <row r="910" ht="13.5" customHeight="1" x14ac:dyDescent="0.15"/>
    <row r="911" ht="13.5" customHeight="1" x14ac:dyDescent="0.15"/>
    <row r="912" ht="13.5" customHeight="1" x14ac:dyDescent="0.15"/>
    <row r="913" ht="13.5" customHeight="1" x14ac:dyDescent="0.15"/>
    <row r="914" ht="13.5" customHeight="1" x14ac:dyDescent="0.15"/>
    <row r="915" ht="13.5" customHeight="1" x14ac:dyDescent="0.15"/>
    <row r="916" ht="13.5" customHeight="1" x14ac:dyDescent="0.15"/>
    <row r="917" ht="13.5" customHeight="1" x14ac:dyDescent="0.15"/>
    <row r="918" ht="13.5" customHeight="1" x14ac:dyDescent="0.15"/>
    <row r="919" ht="13.5" customHeight="1" x14ac:dyDescent="0.15"/>
    <row r="920" ht="13.5" customHeight="1" x14ac:dyDescent="0.15"/>
    <row r="921" ht="13.5" customHeight="1" x14ac:dyDescent="0.15"/>
    <row r="922" ht="13.5" customHeight="1" x14ac:dyDescent="0.15"/>
    <row r="923" ht="13.5" customHeight="1" x14ac:dyDescent="0.15"/>
    <row r="924" ht="13.5" customHeight="1" x14ac:dyDescent="0.15"/>
    <row r="925" ht="13.5" customHeight="1" x14ac:dyDescent="0.15"/>
    <row r="926" ht="13.5" customHeight="1" x14ac:dyDescent="0.15"/>
    <row r="927" ht="13.5" customHeight="1" x14ac:dyDescent="0.15"/>
    <row r="928" ht="13.5" customHeight="1" x14ac:dyDescent="0.15"/>
    <row r="929" ht="13.5" customHeight="1" x14ac:dyDescent="0.15"/>
    <row r="930" ht="13.5" customHeight="1" x14ac:dyDescent="0.15"/>
    <row r="931" ht="13.5" customHeight="1" x14ac:dyDescent="0.15"/>
    <row r="932" ht="13.5" customHeight="1" x14ac:dyDescent="0.15"/>
    <row r="933" ht="13.5" customHeight="1" x14ac:dyDescent="0.15"/>
    <row r="934" ht="13.5" customHeight="1" x14ac:dyDescent="0.15"/>
    <row r="935" ht="13.5" customHeight="1" x14ac:dyDescent="0.15"/>
    <row r="936" ht="13.5" customHeight="1" x14ac:dyDescent="0.15"/>
    <row r="937" ht="13.5" customHeight="1" x14ac:dyDescent="0.15"/>
    <row r="938" ht="13.5" customHeight="1" x14ac:dyDescent="0.15"/>
    <row r="939" ht="13.5" customHeight="1" x14ac:dyDescent="0.15"/>
    <row r="940" ht="13.5" customHeight="1" x14ac:dyDescent="0.15"/>
    <row r="941" ht="13.5" customHeight="1" x14ac:dyDescent="0.15"/>
    <row r="942" ht="13.5" customHeight="1" x14ac:dyDescent="0.15"/>
    <row r="943" ht="13.5" customHeight="1" x14ac:dyDescent="0.15"/>
    <row r="944" ht="13.5" customHeight="1" x14ac:dyDescent="0.15"/>
    <row r="945" ht="13.5" customHeight="1" x14ac:dyDescent="0.15"/>
    <row r="946" ht="13.5" customHeight="1" x14ac:dyDescent="0.15"/>
    <row r="947" ht="13.5" customHeight="1" x14ac:dyDescent="0.15"/>
    <row r="948" ht="13.5" customHeight="1" x14ac:dyDescent="0.15"/>
    <row r="949" ht="13.5" customHeight="1" x14ac:dyDescent="0.15"/>
    <row r="950" ht="13.5" customHeight="1" x14ac:dyDescent="0.15"/>
    <row r="951" ht="13.5" customHeight="1" x14ac:dyDescent="0.15"/>
    <row r="952" ht="13.5" customHeight="1" x14ac:dyDescent="0.15"/>
    <row r="953" ht="13.5" customHeight="1" x14ac:dyDescent="0.15"/>
    <row r="954" ht="13.5" customHeight="1" x14ac:dyDescent="0.15"/>
    <row r="955" ht="13.5" customHeight="1" x14ac:dyDescent="0.15"/>
    <row r="956" ht="13.5" customHeight="1" x14ac:dyDescent="0.15"/>
    <row r="957" ht="13.5" customHeight="1" x14ac:dyDescent="0.15"/>
    <row r="958" ht="13.5" customHeight="1" x14ac:dyDescent="0.15"/>
    <row r="959" ht="13.5" customHeight="1" x14ac:dyDescent="0.15"/>
    <row r="960" ht="13.5" customHeight="1" x14ac:dyDescent="0.15"/>
    <row r="961" ht="13.5" customHeight="1" x14ac:dyDescent="0.15"/>
    <row r="962" ht="13.5" customHeight="1" x14ac:dyDescent="0.15"/>
    <row r="963" ht="13.5" customHeight="1" x14ac:dyDescent="0.15"/>
    <row r="964" ht="13.5" customHeight="1" x14ac:dyDescent="0.15"/>
    <row r="965" ht="13.5" customHeight="1" x14ac:dyDescent="0.15"/>
    <row r="966" ht="13.5" customHeight="1" x14ac:dyDescent="0.15"/>
    <row r="967" ht="13.5" customHeight="1" x14ac:dyDescent="0.15"/>
    <row r="968" ht="13.5" customHeight="1" x14ac:dyDescent="0.15"/>
    <row r="969" ht="13.5" customHeight="1" x14ac:dyDescent="0.15"/>
    <row r="970" ht="13.5" customHeight="1" x14ac:dyDescent="0.15"/>
    <row r="971" ht="13.5" customHeight="1" x14ac:dyDescent="0.15"/>
    <row r="972" ht="13.5" customHeight="1" x14ac:dyDescent="0.15"/>
    <row r="973" ht="13.5" customHeight="1" x14ac:dyDescent="0.15"/>
    <row r="974" ht="13.5" customHeight="1" x14ac:dyDescent="0.15"/>
    <row r="975" ht="13.5" customHeight="1" x14ac:dyDescent="0.15"/>
    <row r="976" ht="13.5" customHeight="1" x14ac:dyDescent="0.15"/>
    <row r="977" ht="13.5" customHeight="1" x14ac:dyDescent="0.15"/>
    <row r="978" ht="13.5" customHeight="1" x14ac:dyDescent="0.15"/>
    <row r="979" ht="13.5" customHeight="1" x14ac:dyDescent="0.15"/>
    <row r="980" ht="13.5" customHeight="1" x14ac:dyDescent="0.15"/>
    <row r="981" ht="13.5" customHeight="1" x14ac:dyDescent="0.15"/>
    <row r="982" ht="13.5" customHeight="1" x14ac:dyDescent="0.15"/>
    <row r="983" ht="13.5" customHeight="1" x14ac:dyDescent="0.15"/>
    <row r="984" ht="13.5" customHeight="1" x14ac:dyDescent="0.15"/>
    <row r="985" ht="13.5" customHeight="1" x14ac:dyDescent="0.15"/>
    <row r="986" ht="13.5" customHeight="1" x14ac:dyDescent="0.15"/>
    <row r="987" ht="13.5" customHeight="1" x14ac:dyDescent="0.15"/>
    <row r="988" ht="13.5" customHeight="1" x14ac:dyDescent="0.15"/>
    <row r="989" ht="13.5" customHeight="1" x14ac:dyDescent="0.15"/>
    <row r="990" ht="13.5" customHeight="1" x14ac:dyDescent="0.15"/>
    <row r="991" ht="13.5" customHeight="1" x14ac:dyDescent="0.15"/>
    <row r="992" ht="13.5" customHeight="1" x14ac:dyDescent="0.15"/>
    <row r="993" ht="13.5" customHeight="1" x14ac:dyDescent="0.15"/>
    <row r="994" ht="13.5" customHeight="1" x14ac:dyDescent="0.15"/>
    <row r="995" ht="13.5" customHeight="1" x14ac:dyDescent="0.15"/>
    <row r="996" ht="13.5" customHeight="1" x14ac:dyDescent="0.15"/>
    <row r="997" ht="13.5" customHeight="1" x14ac:dyDescent="0.15"/>
    <row r="998" ht="13.5" customHeight="1" x14ac:dyDescent="0.15"/>
    <row r="999" ht="13.5" customHeight="1" x14ac:dyDescent="0.15"/>
    <row r="1000" ht="13.5" customHeight="1" x14ac:dyDescent="0.15"/>
  </sheetData>
  <pageMargins left="0.75" right="0.75" top="1" bottom="1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baseColWidth="10" defaultColWidth="11.1640625" defaultRowHeight="15" customHeight="1" x14ac:dyDescent="0.15"/>
  <cols>
    <col min="1" max="26" width="8.83203125" customWidth="1"/>
  </cols>
  <sheetData>
    <row r="1" ht="13.5" customHeight="1" x14ac:dyDescent="0.15"/>
    <row r="2" ht="13.5" customHeight="1" x14ac:dyDescent="0.15"/>
    <row r="3" ht="13.5" customHeight="1" x14ac:dyDescent="0.15"/>
    <row r="4" ht="13.5" customHeight="1" x14ac:dyDescent="0.15"/>
    <row r="5" ht="13.5" customHeight="1" x14ac:dyDescent="0.15"/>
    <row r="6" ht="13.5" customHeight="1" x14ac:dyDescent="0.15"/>
    <row r="7" ht="13.5" customHeight="1" x14ac:dyDescent="0.15"/>
    <row r="8" ht="13.5" customHeight="1" x14ac:dyDescent="0.15"/>
    <row r="9" ht="13.5" customHeight="1" x14ac:dyDescent="0.15"/>
    <row r="10" ht="13.5" customHeight="1" x14ac:dyDescent="0.15"/>
    <row r="11" ht="13.5" customHeight="1" x14ac:dyDescent="0.15"/>
    <row r="12" ht="13.5" customHeight="1" x14ac:dyDescent="0.15"/>
    <row r="13" ht="13.5" customHeight="1" x14ac:dyDescent="0.15"/>
    <row r="14" ht="13.5" customHeight="1" x14ac:dyDescent="0.15"/>
    <row r="15" ht="13.5" customHeight="1" x14ac:dyDescent="0.15"/>
    <row r="16" ht="13.5" customHeight="1" x14ac:dyDescent="0.15"/>
    <row r="17" ht="13.5" customHeight="1" x14ac:dyDescent="0.15"/>
    <row r="18" ht="13.5" customHeight="1" x14ac:dyDescent="0.15"/>
    <row r="19" ht="13.5" customHeight="1" x14ac:dyDescent="0.15"/>
    <row r="20" ht="13.5" customHeight="1" x14ac:dyDescent="0.15"/>
    <row r="21" ht="13.5" customHeight="1" x14ac:dyDescent="0.15"/>
    <row r="22" ht="13.5" customHeight="1" x14ac:dyDescent="0.15"/>
    <row r="23" ht="13.5" customHeight="1" x14ac:dyDescent="0.15"/>
    <row r="24" ht="13.5" customHeight="1" x14ac:dyDescent="0.15"/>
    <row r="25" ht="13.5" customHeight="1" x14ac:dyDescent="0.15"/>
    <row r="26" ht="13.5" customHeight="1" x14ac:dyDescent="0.15"/>
    <row r="27" ht="13.5" customHeight="1" x14ac:dyDescent="0.15"/>
    <row r="28" ht="13.5" customHeight="1" x14ac:dyDescent="0.15"/>
    <row r="29" ht="13.5" customHeight="1" x14ac:dyDescent="0.15"/>
    <row r="30" ht="13.5" customHeight="1" x14ac:dyDescent="0.15"/>
    <row r="31" ht="13.5" customHeight="1" x14ac:dyDescent="0.15"/>
    <row r="32" ht="13.5" customHeight="1" x14ac:dyDescent="0.15"/>
    <row r="33" ht="13.5" customHeight="1" x14ac:dyDescent="0.15"/>
    <row r="34" ht="13.5" customHeight="1" x14ac:dyDescent="0.15"/>
    <row r="35" ht="13.5" customHeight="1" x14ac:dyDescent="0.15"/>
    <row r="36" ht="13.5" customHeight="1" x14ac:dyDescent="0.15"/>
    <row r="37" ht="13.5" customHeight="1" x14ac:dyDescent="0.15"/>
    <row r="38" ht="13.5" customHeight="1" x14ac:dyDescent="0.15"/>
    <row r="39" ht="13.5" customHeight="1" x14ac:dyDescent="0.15"/>
    <row r="40" ht="13.5" customHeight="1" x14ac:dyDescent="0.15"/>
    <row r="41" ht="13.5" customHeight="1" x14ac:dyDescent="0.15"/>
    <row r="42" ht="13.5" customHeight="1" x14ac:dyDescent="0.15"/>
    <row r="43" ht="13.5" customHeight="1" x14ac:dyDescent="0.15"/>
    <row r="44" ht="13.5" customHeight="1" x14ac:dyDescent="0.15"/>
    <row r="45" ht="13.5" customHeight="1" x14ac:dyDescent="0.15"/>
    <row r="46" ht="13.5" customHeight="1" x14ac:dyDescent="0.15"/>
    <row r="47" ht="13.5" customHeight="1" x14ac:dyDescent="0.15"/>
    <row r="48" ht="13.5" customHeight="1" x14ac:dyDescent="0.15"/>
    <row r="49" ht="13.5" customHeight="1" x14ac:dyDescent="0.15"/>
    <row r="50" ht="13.5" customHeight="1" x14ac:dyDescent="0.15"/>
    <row r="51" ht="13.5" customHeight="1" x14ac:dyDescent="0.15"/>
    <row r="52" ht="13.5" customHeight="1" x14ac:dyDescent="0.15"/>
    <row r="53" ht="13.5" customHeight="1" x14ac:dyDescent="0.15"/>
    <row r="54" ht="13.5" customHeight="1" x14ac:dyDescent="0.15"/>
    <row r="55" ht="13.5" customHeight="1" x14ac:dyDescent="0.15"/>
    <row r="56" ht="13.5" customHeight="1" x14ac:dyDescent="0.15"/>
    <row r="57" ht="13.5" customHeight="1" x14ac:dyDescent="0.15"/>
    <row r="58" ht="13.5" customHeight="1" x14ac:dyDescent="0.15"/>
    <row r="59" ht="13.5" customHeight="1" x14ac:dyDescent="0.15"/>
    <row r="60" ht="13.5" customHeight="1" x14ac:dyDescent="0.15"/>
    <row r="61" ht="13.5" customHeight="1" x14ac:dyDescent="0.15"/>
    <row r="62" ht="13.5" customHeight="1" x14ac:dyDescent="0.15"/>
    <row r="63" ht="13.5" customHeight="1" x14ac:dyDescent="0.15"/>
    <row r="64" ht="13.5" customHeight="1" x14ac:dyDescent="0.15"/>
    <row r="65" ht="13.5" customHeight="1" x14ac:dyDescent="0.15"/>
    <row r="66" ht="13.5" customHeight="1" x14ac:dyDescent="0.15"/>
    <row r="67" ht="13.5" customHeight="1" x14ac:dyDescent="0.15"/>
    <row r="68" ht="13.5" customHeight="1" x14ac:dyDescent="0.15"/>
    <row r="69" ht="13.5" customHeight="1" x14ac:dyDescent="0.15"/>
    <row r="70" ht="13.5" customHeight="1" x14ac:dyDescent="0.15"/>
    <row r="71" ht="13.5" customHeight="1" x14ac:dyDescent="0.15"/>
    <row r="72" ht="13.5" customHeight="1" x14ac:dyDescent="0.15"/>
    <row r="73" ht="13.5" customHeight="1" x14ac:dyDescent="0.15"/>
    <row r="74" ht="13.5" customHeight="1" x14ac:dyDescent="0.15"/>
    <row r="75" ht="13.5" customHeight="1" x14ac:dyDescent="0.15"/>
    <row r="76" ht="13.5" customHeight="1" x14ac:dyDescent="0.15"/>
    <row r="77" ht="13.5" customHeight="1" x14ac:dyDescent="0.15"/>
    <row r="78" ht="13.5" customHeight="1" x14ac:dyDescent="0.15"/>
    <row r="79" ht="13.5" customHeight="1" x14ac:dyDescent="0.15"/>
    <row r="80" ht="13.5" customHeight="1" x14ac:dyDescent="0.15"/>
    <row r="81" ht="13.5" customHeight="1" x14ac:dyDescent="0.15"/>
    <row r="82" ht="13.5" customHeight="1" x14ac:dyDescent="0.15"/>
    <row r="83" ht="13.5" customHeight="1" x14ac:dyDescent="0.15"/>
    <row r="84" ht="13.5" customHeight="1" x14ac:dyDescent="0.15"/>
    <row r="85" ht="13.5" customHeight="1" x14ac:dyDescent="0.15"/>
    <row r="86" ht="13.5" customHeight="1" x14ac:dyDescent="0.15"/>
    <row r="87" ht="13.5" customHeight="1" x14ac:dyDescent="0.15"/>
    <row r="88" ht="13.5" customHeight="1" x14ac:dyDescent="0.15"/>
    <row r="89" ht="13.5" customHeight="1" x14ac:dyDescent="0.15"/>
    <row r="90" ht="13.5" customHeight="1" x14ac:dyDescent="0.15"/>
    <row r="91" ht="13.5" customHeight="1" x14ac:dyDescent="0.15"/>
    <row r="92" ht="13.5" customHeight="1" x14ac:dyDescent="0.15"/>
    <row r="93" ht="13.5" customHeight="1" x14ac:dyDescent="0.15"/>
    <row r="94" ht="13.5" customHeight="1" x14ac:dyDescent="0.15"/>
    <row r="95" ht="13.5" customHeight="1" x14ac:dyDescent="0.15"/>
    <row r="96" ht="13.5" customHeight="1" x14ac:dyDescent="0.15"/>
    <row r="97" ht="13.5" customHeight="1" x14ac:dyDescent="0.15"/>
    <row r="98" ht="13.5" customHeight="1" x14ac:dyDescent="0.15"/>
    <row r="99" ht="13.5" customHeight="1" x14ac:dyDescent="0.15"/>
    <row r="100" ht="13.5" customHeight="1" x14ac:dyDescent="0.15"/>
    <row r="101" ht="13.5" customHeight="1" x14ac:dyDescent="0.15"/>
    <row r="102" ht="13.5" customHeight="1" x14ac:dyDescent="0.15"/>
    <row r="103" ht="13.5" customHeight="1" x14ac:dyDescent="0.15"/>
    <row r="104" ht="13.5" customHeight="1" x14ac:dyDescent="0.15"/>
    <row r="105" ht="13.5" customHeight="1" x14ac:dyDescent="0.15"/>
    <row r="106" ht="13.5" customHeight="1" x14ac:dyDescent="0.15"/>
    <row r="107" ht="13.5" customHeight="1" x14ac:dyDescent="0.15"/>
    <row r="108" ht="13.5" customHeight="1" x14ac:dyDescent="0.15"/>
    <row r="109" ht="13.5" customHeight="1" x14ac:dyDescent="0.15"/>
    <row r="110" ht="13.5" customHeight="1" x14ac:dyDescent="0.15"/>
    <row r="111" ht="13.5" customHeight="1" x14ac:dyDescent="0.15"/>
    <row r="112" ht="13.5" customHeight="1" x14ac:dyDescent="0.15"/>
    <row r="113" ht="13.5" customHeight="1" x14ac:dyDescent="0.15"/>
    <row r="114" ht="13.5" customHeight="1" x14ac:dyDescent="0.15"/>
    <row r="115" ht="13.5" customHeight="1" x14ac:dyDescent="0.15"/>
    <row r="116" ht="13.5" customHeight="1" x14ac:dyDescent="0.15"/>
    <row r="117" ht="13.5" customHeight="1" x14ac:dyDescent="0.15"/>
    <row r="118" ht="13.5" customHeight="1" x14ac:dyDescent="0.15"/>
    <row r="119" ht="13.5" customHeight="1" x14ac:dyDescent="0.15"/>
    <row r="120" ht="13.5" customHeight="1" x14ac:dyDescent="0.15"/>
    <row r="121" ht="13.5" customHeight="1" x14ac:dyDescent="0.15"/>
    <row r="122" ht="13.5" customHeight="1" x14ac:dyDescent="0.15"/>
    <row r="123" ht="13.5" customHeight="1" x14ac:dyDescent="0.15"/>
    <row r="124" ht="13.5" customHeight="1" x14ac:dyDescent="0.15"/>
    <row r="125" ht="13.5" customHeight="1" x14ac:dyDescent="0.15"/>
    <row r="126" ht="13.5" customHeight="1" x14ac:dyDescent="0.15"/>
    <row r="127" ht="13.5" customHeight="1" x14ac:dyDescent="0.15"/>
    <row r="128" ht="13.5" customHeight="1" x14ac:dyDescent="0.15"/>
    <row r="129" ht="13.5" customHeight="1" x14ac:dyDescent="0.15"/>
    <row r="130" ht="13.5" customHeight="1" x14ac:dyDescent="0.15"/>
    <row r="131" ht="13.5" customHeight="1" x14ac:dyDescent="0.15"/>
    <row r="132" ht="13.5" customHeight="1" x14ac:dyDescent="0.15"/>
    <row r="133" ht="13.5" customHeight="1" x14ac:dyDescent="0.15"/>
    <row r="134" ht="13.5" customHeight="1" x14ac:dyDescent="0.15"/>
    <row r="135" ht="13.5" customHeight="1" x14ac:dyDescent="0.15"/>
    <row r="136" ht="13.5" customHeight="1" x14ac:dyDescent="0.15"/>
    <row r="137" ht="13.5" customHeight="1" x14ac:dyDescent="0.15"/>
    <row r="138" ht="13.5" customHeight="1" x14ac:dyDescent="0.15"/>
    <row r="139" ht="13.5" customHeight="1" x14ac:dyDescent="0.15"/>
    <row r="140" ht="13.5" customHeight="1" x14ac:dyDescent="0.15"/>
    <row r="141" ht="13.5" customHeight="1" x14ac:dyDescent="0.15"/>
    <row r="142" ht="13.5" customHeight="1" x14ac:dyDescent="0.15"/>
    <row r="143" ht="13.5" customHeight="1" x14ac:dyDescent="0.15"/>
    <row r="144" ht="13.5" customHeight="1" x14ac:dyDescent="0.15"/>
    <row r="145" ht="13.5" customHeight="1" x14ac:dyDescent="0.15"/>
    <row r="146" ht="13.5" customHeight="1" x14ac:dyDescent="0.15"/>
    <row r="147" ht="13.5" customHeight="1" x14ac:dyDescent="0.15"/>
    <row r="148" ht="13.5" customHeight="1" x14ac:dyDescent="0.15"/>
    <row r="149" ht="13.5" customHeight="1" x14ac:dyDescent="0.15"/>
    <row r="150" ht="13.5" customHeight="1" x14ac:dyDescent="0.15"/>
    <row r="151" ht="13.5" customHeight="1" x14ac:dyDescent="0.15"/>
    <row r="152" ht="13.5" customHeight="1" x14ac:dyDescent="0.15"/>
    <row r="153" ht="13.5" customHeight="1" x14ac:dyDescent="0.15"/>
    <row r="154" ht="13.5" customHeight="1" x14ac:dyDescent="0.15"/>
    <row r="155" ht="13.5" customHeight="1" x14ac:dyDescent="0.15"/>
    <row r="156" ht="13.5" customHeight="1" x14ac:dyDescent="0.15"/>
    <row r="157" ht="13.5" customHeight="1" x14ac:dyDescent="0.15"/>
    <row r="158" ht="13.5" customHeight="1" x14ac:dyDescent="0.15"/>
    <row r="159" ht="13.5" customHeight="1" x14ac:dyDescent="0.15"/>
    <row r="160" ht="13.5" customHeight="1" x14ac:dyDescent="0.15"/>
    <row r="161" ht="13.5" customHeight="1" x14ac:dyDescent="0.15"/>
    <row r="162" ht="13.5" customHeight="1" x14ac:dyDescent="0.15"/>
    <row r="163" ht="13.5" customHeight="1" x14ac:dyDescent="0.15"/>
    <row r="164" ht="13.5" customHeight="1" x14ac:dyDescent="0.15"/>
    <row r="165" ht="13.5" customHeight="1" x14ac:dyDescent="0.15"/>
    <row r="166" ht="13.5" customHeight="1" x14ac:dyDescent="0.15"/>
    <row r="167" ht="13.5" customHeight="1" x14ac:dyDescent="0.15"/>
    <row r="168" ht="13.5" customHeight="1" x14ac:dyDescent="0.15"/>
    <row r="169" ht="13.5" customHeight="1" x14ac:dyDescent="0.15"/>
    <row r="170" ht="13.5" customHeight="1" x14ac:dyDescent="0.15"/>
    <row r="171" ht="13.5" customHeight="1" x14ac:dyDescent="0.15"/>
    <row r="172" ht="13.5" customHeight="1" x14ac:dyDescent="0.15"/>
    <row r="173" ht="13.5" customHeight="1" x14ac:dyDescent="0.15"/>
    <row r="174" ht="13.5" customHeight="1" x14ac:dyDescent="0.15"/>
    <row r="175" ht="13.5" customHeight="1" x14ac:dyDescent="0.15"/>
    <row r="176" ht="13.5" customHeight="1" x14ac:dyDescent="0.15"/>
    <row r="177" ht="13.5" customHeight="1" x14ac:dyDescent="0.15"/>
    <row r="178" ht="13.5" customHeight="1" x14ac:dyDescent="0.15"/>
    <row r="179" ht="13.5" customHeight="1" x14ac:dyDescent="0.15"/>
    <row r="180" ht="13.5" customHeight="1" x14ac:dyDescent="0.15"/>
    <row r="181" ht="13.5" customHeight="1" x14ac:dyDescent="0.15"/>
    <row r="182" ht="13.5" customHeight="1" x14ac:dyDescent="0.15"/>
    <row r="183" ht="13.5" customHeight="1" x14ac:dyDescent="0.15"/>
    <row r="184" ht="13.5" customHeight="1" x14ac:dyDescent="0.15"/>
    <row r="185" ht="13.5" customHeight="1" x14ac:dyDescent="0.15"/>
    <row r="186" ht="13.5" customHeight="1" x14ac:dyDescent="0.15"/>
    <row r="187" ht="13.5" customHeight="1" x14ac:dyDescent="0.15"/>
    <row r="188" ht="13.5" customHeight="1" x14ac:dyDescent="0.15"/>
    <row r="189" ht="13.5" customHeight="1" x14ac:dyDescent="0.15"/>
    <row r="190" ht="13.5" customHeight="1" x14ac:dyDescent="0.15"/>
    <row r="191" ht="13.5" customHeight="1" x14ac:dyDescent="0.15"/>
    <row r="192" ht="13.5" customHeight="1" x14ac:dyDescent="0.15"/>
    <row r="193" ht="13.5" customHeight="1" x14ac:dyDescent="0.15"/>
    <row r="194" ht="13.5" customHeight="1" x14ac:dyDescent="0.15"/>
    <row r="195" ht="13.5" customHeight="1" x14ac:dyDescent="0.15"/>
    <row r="196" ht="13.5" customHeight="1" x14ac:dyDescent="0.15"/>
    <row r="197" ht="13.5" customHeight="1" x14ac:dyDescent="0.15"/>
    <row r="198" ht="13.5" customHeight="1" x14ac:dyDescent="0.15"/>
    <row r="199" ht="13.5" customHeight="1" x14ac:dyDescent="0.15"/>
    <row r="200" ht="13.5" customHeight="1" x14ac:dyDescent="0.15"/>
    <row r="201" ht="13.5" customHeight="1" x14ac:dyDescent="0.15"/>
    <row r="202" ht="13.5" customHeight="1" x14ac:dyDescent="0.15"/>
    <row r="203" ht="13.5" customHeight="1" x14ac:dyDescent="0.15"/>
    <row r="204" ht="13.5" customHeight="1" x14ac:dyDescent="0.15"/>
    <row r="205" ht="13.5" customHeight="1" x14ac:dyDescent="0.15"/>
    <row r="206" ht="13.5" customHeight="1" x14ac:dyDescent="0.15"/>
    <row r="207" ht="13.5" customHeight="1" x14ac:dyDescent="0.15"/>
    <row r="208" ht="13.5" customHeight="1" x14ac:dyDescent="0.15"/>
    <row r="209" ht="13.5" customHeight="1" x14ac:dyDescent="0.15"/>
    <row r="210" ht="13.5" customHeight="1" x14ac:dyDescent="0.15"/>
    <row r="211" ht="13.5" customHeight="1" x14ac:dyDescent="0.15"/>
    <row r="212" ht="13.5" customHeight="1" x14ac:dyDescent="0.15"/>
    <row r="213" ht="13.5" customHeight="1" x14ac:dyDescent="0.15"/>
    <row r="214" ht="13.5" customHeight="1" x14ac:dyDescent="0.15"/>
    <row r="215" ht="13.5" customHeight="1" x14ac:dyDescent="0.15"/>
    <row r="216" ht="13.5" customHeight="1" x14ac:dyDescent="0.15"/>
    <row r="217" ht="13.5" customHeight="1" x14ac:dyDescent="0.15"/>
    <row r="218" ht="13.5" customHeight="1" x14ac:dyDescent="0.15"/>
    <row r="219" ht="13.5" customHeight="1" x14ac:dyDescent="0.15"/>
    <row r="220" ht="13.5" customHeight="1" x14ac:dyDescent="0.15"/>
    <row r="221" ht="13.5" customHeight="1" x14ac:dyDescent="0.15"/>
    <row r="222" ht="13.5" customHeight="1" x14ac:dyDescent="0.15"/>
    <row r="223" ht="13.5" customHeight="1" x14ac:dyDescent="0.15"/>
    <row r="224" ht="13.5" customHeight="1" x14ac:dyDescent="0.15"/>
    <row r="225" ht="13.5" customHeight="1" x14ac:dyDescent="0.15"/>
    <row r="226" ht="13.5" customHeight="1" x14ac:dyDescent="0.15"/>
    <row r="227" ht="13.5" customHeight="1" x14ac:dyDescent="0.15"/>
    <row r="228" ht="13.5" customHeight="1" x14ac:dyDescent="0.15"/>
    <row r="229" ht="13.5" customHeight="1" x14ac:dyDescent="0.15"/>
    <row r="230" ht="13.5" customHeight="1" x14ac:dyDescent="0.15"/>
    <row r="231" ht="13.5" customHeight="1" x14ac:dyDescent="0.15"/>
    <row r="232" ht="13.5" customHeight="1" x14ac:dyDescent="0.15"/>
    <row r="233" ht="13.5" customHeight="1" x14ac:dyDescent="0.15"/>
    <row r="234" ht="13.5" customHeight="1" x14ac:dyDescent="0.15"/>
    <row r="235" ht="13.5" customHeight="1" x14ac:dyDescent="0.15"/>
    <row r="236" ht="13.5" customHeight="1" x14ac:dyDescent="0.15"/>
    <row r="237" ht="13.5" customHeight="1" x14ac:dyDescent="0.15"/>
    <row r="238" ht="13.5" customHeight="1" x14ac:dyDescent="0.15"/>
    <row r="239" ht="13.5" customHeight="1" x14ac:dyDescent="0.15"/>
    <row r="240" ht="13.5" customHeight="1" x14ac:dyDescent="0.15"/>
    <row r="241" ht="13.5" customHeight="1" x14ac:dyDescent="0.15"/>
    <row r="242" ht="13.5" customHeight="1" x14ac:dyDescent="0.15"/>
    <row r="243" ht="13.5" customHeight="1" x14ac:dyDescent="0.15"/>
    <row r="244" ht="13.5" customHeight="1" x14ac:dyDescent="0.15"/>
    <row r="245" ht="13.5" customHeight="1" x14ac:dyDescent="0.15"/>
    <row r="246" ht="13.5" customHeight="1" x14ac:dyDescent="0.15"/>
    <row r="247" ht="13.5" customHeight="1" x14ac:dyDescent="0.15"/>
    <row r="248" ht="13.5" customHeight="1" x14ac:dyDescent="0.15"/>
    <row r="249" ht="13.5" customHeight="1" x14ac:dyDescent="0.15"/>
    <row r="250" ht="13.5" customHeight="1" x14ac:dyDescent="0.15"/>
    <row r="251" ht="13.5" customHeight="1" x14ac:dyDescent="0.15"/>
    <row r="252" ht="13.5" customHeight="1" x14ac:dyDescent="0.15"/>
    <row r="253" ht="13.5" customHeight="1" x14ac:dyDescent="0.15"/>
    <row r="254" ht="13.5" customHeight="1" x14ac:dyDescent="0.15"/>
    <row r="255" ht="13.5" customHeight="1" x14ac:dyDescent="0.15"/>
    <row r="256" ht="13.5" customHeight="1" x14ac:dyDescent="0.15"/>
    <row r="257" ht="13.5" customHeight="1" x14ac:dyDescent="0.15"/>
    <row r="258" ht="13.5" customHeight="1" x14ac:dyDescent="0.15"/>
    <row r="259" ht="13.5" customHeight="1" x14ac:dyDescent="0.15"/>
    <row r="260" ht="13.5" customHeight="1" x14ac:dyDescent="0.15"/>
    <row r="261" ht="13.5" customHeight="1" x14ac:dyDescent="0.15"/>
    <row r="262" ht="13.5" customHeight="1" x14ac:dyDescent="0.15"/>
    <row r="263" ht="13.5" customHeight="1" x14ac:dyDescent="0.15"/>
    <row r="264" ht="13.5" customHeight="1" x14ac:dyDescent="0.15"/>
    <row r="265" ht="13.5" customHeight="1" x14ac:dyDescent="0.15"/>
    <row r="266" ht="13.5" customHeight="1" x14ac:dyDescent="0.15"/>
    <row r="267" ht="13.5" customHeight="1" x14ac:dyDescent="0.15"/>
    <row r="268" ht="13.5" customHeight="1" x14ac:dyDescent="0.15"/>
    <row r="269" ht="13.5" customHeight="1" x14ac:dyDescent="0.15"/>
    <row r="270" ht="13.5" customHeight="1" x14ac:dyDescent="0.15"/>
    <row r="271" ht="13.5" customHeight="1" x14ac:dyDescent="0.15"/>
    <row r="272" ht="13.5" customHeight="1" x14ac:dyDescent="0.15"/>
    <row r="273" ht="13.5" customHeight="1" x14ac:dyDescent="0.15"/>
    <row r="274" ht="13.5" customHeight="1" x14ac:dyDescent="0.15"/>
    <row r="275" ht="13.5" customHeight="1" x14ac:dyDescent="0.15"/>
    <row r="276" ht="13.5" customHeight="1" x14ac:dyDescent="0.15"/>
    <row r="277" ht="13.5" customHeight="1" x14ac:dyDescent="0.15"/>
    <row r="278" ht="13.5" customHeight="1" x14ac:dyDescent="0.15"/>
    <row r="279" ht="13.5" customHeight="1" x14ac:dyDescent="0.15"/>
    <row r="280" ht="13.5" customHeight="1" x14ac:dyDescent="0.15"/>
    <row r="281" ht="13.5" customHeight="1" x14ac:dyDescent="0.15"/>
    <row r="282" ht="13.5" customHeight="1" x14ac:dyDescent="0.15"/>
    <row r="283" ht="13.5" customHeight="1" x14ac:dyDescent="0.15"/>
    <row r="284" ht="13.5" customHeight="1" x14ac:dyDescent="0.15"/>
    <row r="285" ht="13.5" customHeight="1" x14ac:dyDescent="0.15"/>
    <row r="286" ht="13.5" customHeight="1" x14ac:dyDescent="0.15"/>
    <row r="287" ht="13.5" customHeight="1" x14ac:dyDescent="0.15"/>
    <row r="288" ht="13.5" customHeight="1" x14ac:dyDescent="0.15"/>
    <row r="289" ht="13.5" customHeight="1" x14ac:dyDescent="0.15"/>
    <row r="290" ht="13.5" customHeight="1" x14ac:dyDescent="0.15"/>
    <row r="291" ht="13.5" customHeight="1" x14ac:dyDescent="0.15"/>
    <row r="292" ht="13.5" customHeight="1" x14ac:dyDescent="0.15"/>
    <row r="293" ht="13.5" customHeight="1" x14ac:dyDescent="0.15"/>
    <row r="294" ht="13.5" customHeight="1" x14ac:dyDescent="0.15"/>
    <row r="295" ht="13.5" customHeight="1" x14ac:dyDescent="0.15"/>
    <row r="296" ht="13.5" customHeight="1" x14ac:dyDescent="0.15"/>
    <row r="297" ht="13.5" customHeight="1" x14ac:dyDescent="0.15"/>
    <row r="298" ht="13.5" customHeight="1" x14ac:dyDescent="0.15"/>
    <row r="299" ht="13.5" customHeight="1" x14ac:dyDescent="0.15"/>
    <row r="300" ht="13.5" customHeight="1" x14ac:dyDescent="0.15"/>
    <row r="301" ht="13.5" customHeight="1" x14ac:dyDescent="0.15"/>
    <row r="302" ht="13.5" customHeight="1" x14ac:dyDescent="0.15"/>
    <row r="303" ht="13.5" customHeight="1" x14ac:dyDescent="0.15"/>
    <row r="304" ht="13.5" customHeight="1" x14ac:dyDescent="0.15"/>
    <row r="305" ht="13.5" customHeight="1" x14ac:dyDescent="0.15"/>
    <row r="306" ht="13.5" customHeight="1" x14ac:dyDescent="0.15"/>
    <row r="307" ht="13.5" customHeight="1" x14ac:dyDescent="0.15"/>
    <row r="308" ht="13.5" customHeight="1" x14ac:dyDescent="0.15"/>
    <row r="309" ht="13.5" customHeight="1" x14ac:dyDescent="0.15"/>
    <row r="310" ht="13.5" customHeight="1" x14ac:dyDescent="0.15"/>
    <row r="311" ht="13.5" customHeight="1" x14ac:dyDescent="0.15"/>
    <row r="312" ht="13.5" customHeight="1" x14ac:dyDescent="0.15"/>
    <row r="313" ht="13.5" customHeight="1" x14ac:dyDescent="0.15"/>
    <row r="314" ht="13.5" customHeight="1" x14ac:dyDescent="0.15"/>
    <row r="315" ht="13.5" customHeight="1" x14ac:dyDescent="0.15"/>
    <row r="316" ht="13.5" customHeight="1" x14ac:dyDescent="0.15"/>
    <row r="317" ht="13.5" customHeight="1" x14ac:dyDescent="0.15"/>
    <row r="318" ht="13.5" customHeight="1" x14ac:dyDescent="0.15"/>
    <row r="319" ht="13.5" customHeight="1" x14ac:dyDescent="0.15"/>
    <row r="320" ht="13.5" customHeight="1" x14ac:dyDescent="0.15"/>
    <row r="321" ht="13.5" customHeight="1" x14ac:dyDescent="0.15"/>
    <row r="322" ht="13.5" customHeight="1" x14ac:dyDescent="0.15"/>
    <row r="323" ht="13.5" customHeight="1" x14ac:dyDescent="0.15"/>
    <row r="324" ht="13.5" customHeight="1" x14ac:dyDescent="0.15"/>
    <row r="325" ht="13.5" customHeight="1" x14ac:dyDescent="0.15"/>
    <row r="326" ht="13.5" customHeight="1" x14ac:dyDescent="0.15"/>
    <row r="327" ht="13.5" customHeight="1" x14ac:dyDescent="0.15"/>
    <row r="328" ht="13.5" customHeight="1" x14ac:dyDescent="0.15"/>
    <row r="329" ht="13.5" customHeight="1" x14ac:dyDescent="0.15"/>
    <row r="330" ht="13.5" customHeight="1" x14ac:dyDescent="0.15"/>
    <row r="331" ht="13.5" customHeight="1" x14ac:dyDescent="0.15"/>
    <row r="332" ht="13.5" customHeight="1" x14ac:dyDescent="0.15"/>
    <row r="333" ht="13.5" customHeight="1" x14ac:dyDescent="0.15"/>
    <row r="334" ht="13.5" customHeight="1" x14ac:dyDescent="0.15"/>
    <row r="335" ht="13.5" customHeight="1" x14ac:dyDescent="0.15"/>
    <row r="336" ht="13.5" customHeight="1" x14ac:dyDescent="0.15"/>
    <row r="337" ht="13.5" customHeight="1" x14ac:dyDescent="0.15"/>
    <row r="338" ht="13.5" customHeight="1" x14ac:dyDescent="0.15"/>
    <row r="339" ht="13.5" customHeight="1" x14ac:dyDescent="0.15"/>
    <row r="340" ht="13.5" customHeight="1" x14ac:dyDescent="0.15"/>
    <row r="341" ht="13.5" customHeight="1" x14ac:dyDescent="0.15"/>
    <row r="342" ht="13.5" customHeight="1" x14ac:dyDescent="0.15"/>
    <row r="343" ht="13.5" customHeight="1" x14ac:dyDescent="0.15"/>
    <row r="344" ht="13.5" customHeight="1" x14ac:dyDescent="0.15"/>
    <row r="345" ht="13.5" customHeight="1" x14ac:dyDescent="0.15"/>
    <row r="346" ht="13.5" customHeight="1" x14ac:dyDescent="0.15"/>
    <row r="347" ht="13.5" customHeight="1" x14ac:dyDescent="0.15"/>
    <row r="348" ht="13.5" customHeight="1" x14ac:dyDescent="0.15"/>
    <row r="349" ht="13.5" customHeight="1" x14ac:dyDescent="0.15"/>
    <row r="350" ht="13.5" customHeight="1" x14ac:dyDescent="0.15"/>
    <row r="351" ht="13.5" customHeight="1" x14ac:dyDescent="0.15"/>
    <row r="352" ht="13.5" customHeight="1" x14ac:dyDescent="0.15"/>
    <row r="353" ht="13.5" customHeight="1" x14ac:dyDescent="0.15"/>
    <row r="354" ht="13.5" customHeight="1" x14ac:dyDescent="0.15"/>
    <row r="355" ht="13.5" customHeight="1" x14ac:dyDescent="0.15"/>
    <row r="356" ht="13.5" customHeight="1" x14ac:dyDescent="0.15"/>
    <row r="357" ht="13.5" customHeight="1" x14ac:dyDescent="0.15"/>
    <row r="358" ht="13.5" customHeight="1" x14ac:dyDescent="0.15"/>
    <row r="359" ht="13.5" customHeight="1" x14ac:dyDescent="0.15"/>
    <row r="360" ht="13.5" customHeight="1" x14ac:dyDescent="0.15"/>
    <row r="361" ht="13.5" customHeight="1" x14ac:dyDescent="0.15"/>
    <row r="362" ht="13.5" customHeight="1" x14ac:dyDescent="0.15"/>
    <row r="363" ht="13.5" customHeight="1" x14ac:dyDescent="0.15"/>
    <row r="364" ht="13.5" customHeight="1" x14ac:dyDescent="0.15"/>
    <row r="365" ht="13.5" customHeight="1" x14ac:dyDescent="0.15"/>
    <row r="366" ht="13.5" customHeight="1" x14ac:dyDescent="0.15"/>
    <row r="367" ht="13.5" customHeight="1" x14ac:dyDescent="0.15"/>
    <row r="368" ht="13.5" customHeight="1" x14ac:dyDescent="0.15"/>
    <row r="369" ht="13.5" customHeight="1" x14ac:dyDescent="0.15"/>
    <row r="370" ht="13.5" customHeight="1" x14ac:dyDescent="0.15"/>
    <row r="371" ht="13.5" customHeight="1" x14ac:dyDescent="0.15"/>
    <row r="372" ht="13.5" customHeight="1" x14ac:dyDescent="0.15"/>
    <row r="373" ht="13.5" customHeight="1" x14ac:dyDescent="0.15"/>
    <row r="374" ht="13.5" customHeight="1" x14ac:dyDescent="0.15"/>
    <row r="375" ht="13.5" customHeight="1" x14ac:dyDescent="0.15"/>
    <row r="376" ht="13.5" customHeight="1" x14ac:dyDescent="0.15"/>
    <row r="377" ht="13.5" customHeight="1" x14ac:dyDescent="0.15"/>
    <row r="378" ht="13.5" customHeight="1" x14ac:dyDescent="0.15"/>
    <row r="379" ht="13.5" customHeight="1" x14ac:dyDescent="0.15"/>
    <row r="380" ht="13.5" customHeight="1" x14ac:dyDescent="0.15"/>
    <row r="381" ht="13.5" customHeight="1" x14ac:dyDescent="0.15"/>
    <row r="382" ht="13.5" customHeight="1" x14ac:dyDescent="0.15"/>
    <row r="383" ht="13.5" customHeight="1" x14ac:dyDescent="0.15"/>
    <row r="384" ht="13.5" customHeight="1" x14ac:dyDescent="0.15"/>
    <row r="385" ht="13.5" customHeight="1" x14ac:dyDescent="0.15"/>
    <row r="386" ht="13.5" customHeight="1" x14ac:dyDescent="0.15"/>
    <row r="387" ht="13.5" customHeight="1" x14ac:dyDescent="0.15"/>
    <row r="388" ht="13.5" customHeight="1" x14ac:dyDescent="0.15"/>
    <row r="389" ht="13.5" customHeight="1" x14ac:dyDescent="0.15"/>
    <row r="390" ht="13.5" customHeight="1" x14ac:dyDescent="0.15"/>
    <row r="391" ht="13.5" customHeight="1" x14ac:dyDescent="0.15"/>
    <row r="392" ht="13.5" customHeight="1" x14ac:dyDescent="0.15"/>
    <row r="393" ht="13.5" customHeight="1" x14ac:dyDescent="0.15"/>
    <row r="394" ht="13.5" customHeight="1" x14ac:dyDescent="0.15"/>
    <row r="395" ht="13.5" customHeight="1" x14ac:dyDescent="0.15"/>
    <row r="396" ht="13.5" customHeight="1" x14ac:dyDescent="0.15"/>
    <row r="397" ht="13.5" customHeight="1" x14ac:dyDescent="0.15"/>
    <row r="398" ht="13.5" customHeight="1" x14ac:dyDescent="0.15"/>
    <row r="399" ht="13.5" customHeight="1" x14ac:dyDescent="0.15"/>
    <row r="400" ht="13.5" customHeight="1" x14ac:dyDescent="0.15"/>
    <row r="401" ht="13.5" customHeight="1" x14ac:dyDescent="0.15"/>
    <row r="402" ht="13.5" customHeight="1" x14ac:dyDescent="0.15"/>
    <row r="403" ht="13.5" customHeight="1" x14ac:dyDescent="0.15"/>
    <row r="404" ht="13.5" customHeight="1" x14ac:dyDescent="0.15"/>
    <row r="405" ht="13.5" customHeight="1" x14ac:dyDescent="0.15"/>
    <row r="406" ht="13.5" customHeight="1" x14ac:dyDescent="0.15"/>
    <row r="407" ht="13.5" customHeight="1" x14ac:dyDescent="0.15"/>
    <row r="408" ht="13.5" customHeight="1" x14ac:dyDescent="0.15"/>
    <row r="409" ht="13.5" customHeight="1" x14ac:dyDescent="0.15"/>
    <row r="410" ht="13.5" customHeight="1" x14ac:dyDescent="0.15"/>
    <row r="411" ht="13.5" customHeight="1" x14ac:dyDescent="0.15"/>
    <row r="412" ht="13.5" customHeight="1" x14ac:dyDescent="0.15"/>
    <row r="413" ht="13.5" customHeight="1" x14ac:dyDescent="0.15"/>
    <row r="414" ht="13.5" customHeight="1" x14ac:dyDescent="0.15"/>
    <row r="415" ht="13.5" customHeight="1" x14ac:dyDescent="0.15"/>
    <row r="416" ht="13.5" customHeight="1" x14ac:dyDescent="0.15"/>
    <row r="417" ht="13.5" customHeight="1" x14ac:dyDescent="0.15"/>
    <row r="418" ht="13.5" customHeight="1" x14ac:dyDescent="0.15"/>
    <row r="419" ht="13.5" customHeight="1" x14ac:dyDescent="0.15"/>
    <row r="420" ht="13.5" customHeight="1" x14ac:dyDescent="0.15"/>
    <row r="421" ht="13.5" customHeight="1" x14ac:dyDescent="0.15"/>
    <row r="422" ht="13.5" customHeight="1" x14ac:dyDescent="0.15"/>
    <row r="423" ht="13.5" customHeight="1" x14ac:dyDescent="0.15"/>
    <row r="424" ht="13.5" customHeight="1" x14ac:dyDescent="0.15"/>
    <row r="425" ht="13.5" customHeight="1" x14ac:dyDescent="0.15"/>
    <row r="426" ht="13.5" customHeight="1" x14ac:dyDescent="0.15"/>
    <row r="427" ht="13.5" customHeight="1" x14ac:dyDescent="0.15"/>
    <row r="428" ht="13.5" customHeight="1" x14ac:dyDescent="0.15"/>
    <row r="429" ht="13.5" customHeight="1" x14ac:dyDescent="0.15"/>
    <row r="430" ht="13.5" customHeight="1" x14ac:dyDescent="0.15"/>
    <row r="431" ht="13.5" customHeight="1" x14ac:dyDescent="0.15"/>
    <row r="432" ht="13.5" customHeight="1" x14ac:dyDescent="0.15"/>
    <row r="433" ht="13.5" customHeight="1" x14ac:dyDescent="0.15"/>
    <row r="434" ht="13.5" customHeight="1" x14ac:dyDescent="0.15"/>
    <row r="435" ht="13.5" customHeight="1" x14ac:dyDescent="0.15"/>
    <row r="436" ht="13.5" customHeight="1" x14ac:dyDescent="0.15"/>
    <row r="437" ht="13.5" customHeight="1" x14ac:dyDescent="0.15"/>
    <row r="438" ht="13.5" customHeight="1" x14ac:dyDescent="0.15"/>
    <row r="439" ht="13.5" customHeight="1" x14ac:dyDescent="0.15"/>
    <row r="440" ht="13.5" customHeight="1" x14ac:dyDescent="0.15"/>
    <row r="441" ht="13.5" customHeight="1" x14ac:dyDescent="0.15"/>
    <row r="442" ht="13.5" customHeight="1" x14ac:dyDescent="0.15"/>
    <row r="443" ht="13.5" customHeight="1" x14ac:dyDescent="0.15"/>
    <row r="444" ht="13.5" customHeight="1" x14ac:dyDescent="0.15"/>
    <row r="445" ht="13.5" customHeight="1" x14ac:dyDescent="0.15"/>
    <row r="446" ht="13.5" customHeight="1" x14ac:dyDescent="0.15"/>
    <row r="447" ht="13.5" customHeight="1" x14ac:dyDescent="0.15"/>
    <row r="448" ht="13.5" customHeight="1" x14ac:dyDescent="0.15"/>
    <row r="449" ht="13.5" customHeight="1" x14ac:dyDescent="0.15"/>
    <row r="450" ht="13.5" customHeight="1" x14ac:dyDescent="0.15"/>
    <row r="451" ht="13.5" customHeight="1" x14ac:dyDescent="0.15"/>
    <row r="452" ht="13.5" customHeight="1" x14ac:dyDescent="0.15"/>
    <row r="453" ht="13.5" customHeight="1" x14ac:dyDescent="0.15"/>
    <row r="454" ht="13.5" customHeight="1" x14ac:dyDescent="0.15"/>
    <row r="455" ht="13.5" customHeight="1" x14ac:dyDescent="0.15"/>
    <row r="456" ht="13.5" customHeight="1" x14ac:dyDescent="0.15"/>
    <row r="457" ht="13.5" customHeight="1" x14ac:dyDescent="0.15"/>
    <row r="458" ht="13.5" customHeight="1" x14ac:dyDescent="0.15"/>
    <row r="459" ht="13.5" customHeight="1" x14ac:dyDescent="0.15"/>
    <row r="460" ht="13.5" customHeight="1" x14ac:dyDescent="0.15"/>
    <row r="461" ht="13.5" customHeight="1" x14ac:dyDescent="0.15"/>
    <row r="462" ht="13.5" customHeight="1" x14ac:dyDescent="0.15"/>
    <row r="463" ht="13.5" customHeight="1" x14ac:dyDescent="0.15"/>
    <row r="464" ht="13.5" customHeight="1" x14ac:dyDescent="0.15"/>
    <row r="465" ht="13.5" customHeight="1" x14ac:dyDescent="0.15"/>
    <row r="466" ht="13.5" customHeight="1" x14ac:dyDescent="0.15"/>
    <row r="467" ht="13.5" customHeight="1" x14ac:dyDescent="0.15"/>
    <row r="468" ht="13.5" customHeight="1" x14ac:dyDescent="0.15"/>
    <row r="469" ht="13.5" customHeight="1" x14ac:dyDescent="0.15"/>
    <row r="470" ht="13.5" customHeight="1" x14ac:dyDescent="0.15"/>
    <row r="471" ht="13.5" customHeight="1" x14ac:dyDescent="0.15"/>
    <row r="472" ht="13.5" customHeight="1" x14ac:dyDescent="0.15"/>
    <row r="473" ht="13.5" customHeight="1" x14ac:dyDescent="0.15"/>
    <row r="474" ht="13.5" customHeight="1" x14ac:dyDescent="0.15"/>
    <row r="475" ht="13.5" customHeight="1" x14ac:dyDescent="0.15"/>
    <row r="476" ht="13.5" customHeight="1" x14ac:dyDescent="0.15"/>
    <row r="477" ht="13.5" customHeight="1" x14ac:dyDescent="0.15"/>
    <row r="478" ht="13.5" customHeight="1" x14ac:dyDescent="0.15"/>
    <row r="479" ht="13.5" customHeight="1" x14ac:dyDescent="0.15"/>
    <row r="480" ht="13.5" customHeight="1" x14ac:dyDescent="0.15"/>
    <row r="481" ht="13.5" customHeight="1" x14ac:dyDescent="0.15"/>
    <row r="482" ht="13.5" customHeight="1" x14ac:dyDescent="0.15"/>
    <row r="483" ht="13.5" customHeight="1" x14ac:dyDescent="0.15"/>
    <row r="484" ht="13.5" customHeight="1" x14ac:dyDescent="0.15"/>
    <row r="485" ht="13.5" customHeight="1" x14ac:dyDescent="0.15"/>
    <row r="486" ht="13.5" customHeight="1" x14ac:dyDescent="0.15"/>
    <row r="487" ht="13.5" customHeight="1" x14ac:dyDescent="0.15"/>
    <row r="488" ht="13.5" customHeight="1" x14ac:dyDescent="0.15"/>
    <row r="489" ht="13.5" customHeight="1" x14ac:dyDescent="0.15"/>
    <row r="490" ht="13.5" customHeight="1" x14ac:dyDescent="0.15"/>
    <row r="491" ht="13.5" customHeight="1" x14ac:dyDescent="0.15"/>
    <row r="492" ht="13.5" customHeight="1" x14ac:dyDescent="0.15"/>
    <row r="493" ht="13.5" customHeight="1" x14ac:dyDescent="0.15"/>
    <row r="494" ht="13.5" customHeight="1" x14ac:dyDescent="0.15"/>
    <row r="495" ht="13.5" customHeight="1" x14ac:dyDescent="0.15"/>
    <row r="496" ht="13.5" customHeight="1" x14ac:dyDescent="0.15"/>
    <row r="497" ht="13.5" customHeight="1" x14ac:dyDescent="0.15"/>
    <row r="498" ht="13.5" customHeight="1" x14ac:dyDescent="0.15"/>
    <row r="499" ht="13.5" customHeight="1" x14ac:dyDescent="0.15"/>
    <row r="500" ht="13.5" customHeight="1" x14ac:dyDescent="0.15"/>
    <row r="501" ht="13.5" customHeight="1" x14ac:dyDescent="0.15"/>
    <row r="502" ht="13.5" customHeight="1" x14ac:dyDescent="0.15"/>
    <row r="503" ht="13.5" customHeight="1" x14ac:dyDescent="0.15"/>
    <row r="504" ht="13.5" customHeight="1" x14ac:dyDescent="0.15"/>
    <row r="505" ht="13.5" customHeight="1" x14ac:dyDescent="0.15"/>
    <row r="506" ht="13.5" customHeight="1" x14ac:dyDescent="0.15"/>
    <row r="507" ht="13.5" customHeight="1" x14ac:dyDescent="0.15"/>
    <row r="508" ht="13.5" customHeight="1" x14ac:dyDescent="0.15"/>
    <row r="509" ht="13.5" customHeight="1" x14ac:dyDescent="0.15"/>
    <row r="510" ht="13.5" customHeight="1" x14ac:dyDescent="0.15"/>
    <row r="511" ht="13.5" customHeight="1" x14ac:dyDescent="0.15"/>
    <row r="512" ht="13.5" customHeight="1" x14ac:dyDescent="0.15"/>
    <row r="513" ht="13.5" customHeight="1" x14ac:dyDescent="0.15"/>
    <row r="514" ht="13.5" customHeight="1" x14ac:dyDescent="0.15"/>
    <row r="515" ht="13.5" customHeight="1" x14ac:dyDescent="0.15"/>
    <row r="516" ht="13.5" customHeight="1" x14ac:dyDescent="0.15"/>
    <row r="517" ht="13.5" customHeight="1" x14ac:dyDescent="0.15"/>
    <row r="518" ht="13.5" customHeight="1" x14ac:dyDescent="0.15"/>
    <row r="519" ht="13.5" customHeight="1" x14ac:dyDescent="0.15"/>
    <row r="520" ht="13.5" customHeight="1" x14ac:dyDescent="0.15"/>
    <row r="521" ht="13.5" customHeight="1" x14ac:dyDescent="0.15"/>
    <row r="522" ht="13.5" customHeight="1" x14ac:dyDescent="0.15"/>
    <row r="523" ht="13.5" customHeight="1" x14ac:dyDescent="0.15"/>
    <row r="524" ht="13.5" customHeight="1" x14ac:dyDescent="0.15"/>
    <row r="525" ht="13.5" customHeight="1" x14ac:dyDescent="0.15"/>
    <row r="526" ht="13.5" customHeight="1" x14ac:dyDescent="0.15"/>
    <row r="527" ht="13.5" customHeight="1" x14ac:dyDescent="0.15"/>
    <row r="528" ht="13.5" customHeight="1" x14ac:dyDescent="0.15"/>
    <row r="529" ht="13.5" customHeight="1" x14ac:dyDescent="0.15"/>
    <row r="530" ht="13.5" customHeight="1" x14ac:dyDescent="0.15"/>
    <row r="531" ht="13.5" customHeight="1" x14ac:dyDescent="0.15"/>
    <row r="532" ht="13.5" customHeight="1" x14ac:dyDescent="0.15"/>
    <row r="533" ht="13.5" customHeight="1" x14ac:dyDescent="0.15"/>
    <row r="534" ht="13.5" customHeight="1" x14ac:dyDescent="0.15"/>
    <row r="535" ht="13.5" customHeight="1" x14ac:dyDescent="0.15"/>
    <row r="536" ht="13.5" customHeight="1" x14ac:dyDescent="0.15"/>
    <row r="537" ht="13.5" customHeight="1" x14ac:dyDescent="0.15"/>
    <row r="538" ht="13.5" customHeight="1" x14ac:dyDescent="0.15"/>
    <row r="539" ht="13.5" customHeight="1" x14ac:dyDescent="0.15"/>
    <row r="540" ht="13.5" customHeight="1" x14ac:dyDescent="0.15"/>
    <row r="541" ht="13.5" customHeight="1" x14ac:dyDescent="0.15"/>
    <row r="542" ht="13.5" customHeight="1" x14ac:dyDescent="0.15"/>
    <row r="543" ht="13.5" customHeight="1" x14ac:dyDescent="0.15"/>
    <row r="544" ht="13.5" customHeight="1" x14ac:dyDescent="0.15"/>
    <row r="545" ht="13.5" customHeight="1" x14ac:dyDescent="0.15"/>
    <row r="546" ht="13.5" customHeight="1" x14ac:dyDescent="0.15"/>
    <row r="547" ht="13.5" customHeight="1" x14ac:dyDescent="0.15"/>
    <row r="548" ht="13.5" customHeight="1" x14ac:dyDescent="0.15"/>
    <row r="549" ht="13.5" customHeight="1" x14ac:dyDescent="0.15"/>
    <row r="550" ht="13.5" customHeight="1" x14ac:dyDescent="0.15"/>
    <row r="551" ht="13.5" customHeight="1" x14ac:dyDescent="0.15"/>
    <row r="552" ht="13.5" customHeight="1" x14ac:dyDescent="0.15"/>
    <row r="553" ht="13.5" customHeight="1" x14ac:dyDescent="0.15"/>
    <row r="554" ht="13.5" customHeight="1" x14ac:dyDescent="0.15"/>
    <row r="555" ht="13.5" customHeight="1" x14ac:dyDescent="0.15"/>
    <row r="556" ht="13.5" customHeight="1" x14ac:dyDescent="0.15"/>
    <row r="557" ht="13.5" customHeight="1" x14ac:dyDescent="0.15"/>
    <row r="558" ht="13.5" customHeight="1" x14ac:dyDescent="0.15"/>
    <row r="559" ht="13.5" customHeight="1" x14ac:dyDescent="0.15"/>
    <row r="560" ht="13.5" customHeight="1" x14ac:dyDescent="0.15"/>
    <row r="561" ht="13.5" customHeight="1" x14ac:dyDescent="0.15"/>
    <row r="562" ht="13.5" customHeight="1" x14ac:dyDescent="0.15"/>
    <row r="563" ht="13.5" customHeight="1" x14ac:dyDescent="0.15"/>
    <row r="564" ht="13.5" customHeight="1" x14ac:dyDescent="0.15"/>
    <row r="565" ht="13.5" customHeight="1" x14ac:dyDescent="0.15"/>
    <row r="566" ht="13.5" customHeight="1" x14ac:dyDescent="0.15"/>
    <row r="567" ht="13.5" customHeight="1" x14ac:dyDescent="0.15"/>
    <row r="568" ht="13.5" customHeight="1" x14ac:dyDescent="0.15"/>
    <row r="569" ht="13.5" customHeight="1" x14ac:dyDescent="0.15"/>
    <row r="570" ht="13.5" customHeight="1" x14ac:dyDescent="0.15"/>
    <row r="571" ht="13.5" customHeight="1" x14ac:dyDescent="0.15"/>
    <row r="572" ht="13.5" customHeight="1" x14ac:dyDescent="0.15"/>
    <row r="573" ht="13.5" customHeight="1" x14ac:dyDescent="0.15"/>
    <row r="574" ht="13.5" customHeight="1" x14ac:dyDescent="0.15"/>
    <row r="575" ht="13.5" customHeight="1" x14ac:dyDescent="0.15"/>
    <row r="576" ht="13.5" customHeight="1" x14ac:dyDescent="0.15"/>
    <row r="577" ht="13.5" customHeight="1" x14ac:dyDescent="0.15"/>
    <row r="578" ht="13.5" customHeight="1" x14ac:dyDescent="0.15"/>
    <row r="579" ht="13.5" customHeight="1" x14ac:dyDescent="0.15"/>
    <row r="580" ht="13.5" customHeight="1" x14ac:dyDescent="0.15"/>
    <row r="581" ht="13.5" customHeight="1" x14ac:dyDescent="0.15"/>
    <row r="582" ht="13.5" customHeight="1" x14ac:dyDescent="0.15"/>
    <row r="583" ht="13.5" customHeight="1" x14ac:dyDescent="0.15"/>
    <row r="584" ht="13.5" customHeight="1" x14ac:dyDescent="0.15"/>
    <row r="585" ht="13.5" customHeight="1" x14ac:dyDescent="0.15"/>
    <row r="586" ht="13.5" customHeight="1" x14ac:dyDescent="0.15"/>
    <row r="587" ht="13.5" customHeight="1" x14ac:dyDescent="0.15"/>
    <row r="588" ht="13.5" customHeight="1" x14ac:dyDescent="0.15"/>
    <row r="589" ht="13.5" customHeight="1" x14ac:dyDescent="0.15"/>
    <row r="590" ht="13.5" customHeight="1" x14ac:dyDescent="0.15"/>
    <row r="591" ht="13.5" customHeight="1" x14ac:dyDescent="0.15"/>
    <row r="592" ht="13.5" customHeight="1" x14ac:dyDescent="0.15"/>
    <row r="593" ht="13.5" customHeight="1" x14ac:dyDescent="0.15"/>
    <row r="594" ht="13.5" customHeight="1" x14ac:dyDescent="0.15"/>
    <row r="595" ht="13.5" customHeight="1" x14ac:dyDescent="0.15"/>
    <row r="596" ht="13.5" customHeight="1" x14ac:dyDescent="0.15"/>
    <row r="597" ht="13.5" customHeight="1" x14ac:dyDescent="0.15"/>
    <row r="598" ht="13.5" customHeight="1" x14ac:dyDescent="0.15"/>
    <row r="599" ht="13.5" customHeight="1" x14ac:dyDescent="0.15"/>
    <row r="600" ht="13.5" customHeight="1" x14ac:dyDescent="0.15"/>
    <row r="601" ht="13.5" customHeight="1" x14ac:dyDescent="0.15"/>
    <row r="602" ht="13.5" customHeight="1" x14ac:dyDescent="0.15"/>
    <row r="603" ht="13.5" customHeight="1" x14ac:dyDescent="0.15"/>
    <row r="604" ht="13.5" customHeight="1" x14ac:dyDescent="0.15"/>
    <row r="605" ht="13.5" customHeight="1" x14ac:dyDescent="0.15"/>
    <row r="606" ht="13.5" customHeight="1" x14ac:dyDescent="0.15"/>
    <row r="607" ht="13.5" customHeight="1" x14ac:dyDescent="0.15"/>
    <row r="608" ht="13.5" customHeight="1" x14ac:dyDescent="0.15"/>
    <row r="609" ht="13.5" customHeight="1" x14ac:dyDescent="0.15"/>
    <row r="610" ht="13.5" customHeight="1" x14ac:dyDescent="0.15"/>
    <row r="611" ht="13.5" customHeight="1" x14ac:dyDescent="0.15"/>
    <row r="612" ht="13.5" customHeight="1" x14ac:dyDescent="0.15"/>
    <row r="613" ht="13.5" customHeight="1" x14ac:dyDescent="0.15"/>
    <row r="614" ht="13.5" customHeight="1" x14ac:dyDescent="0.15"/>
    <row r="615" ht="13.5" customHeight="1" x14ac:dyDescent="0.15"/>
    <row r="616" ht="13.5" customHeight="1" x14ac:dyDescent="0.15"/>
    <row r="617" ht="13.5" customHeight="1" x14ac:dyDescent="0.15"/>
    <row r="618" ht="13.5" customHeight="1" x14ac:dyDescent="0.15"/>
    <row r="619" ht="13.5" customHeight="1" x14ac:dyDescent="0.15"/>
    <row r="620" ht="13.5" customHeight="1" x14ac:dyDescent="0.15"/>
    <row r="621" ht="13.5" customHeight="1" x14ac:dyDescent="0.15"/>
    <row r="622" ht="13.5" customHeight="1" x14ac:dyDescent="0.15"/>
    <row r="623" ht="13.5" customHeight="1" x14ac:dyDescent="0.15"/>
    <row r="624" ht="13.5" customHeight="1" x14ac:dyDescent="0.15"/>
    <row r="625" ht="13.5" customHeight="1" x14ac:dyDescent="0.15"/>
    <row r="626" ht="13.5" customHeight="1" x14ac:dyDescent="0.15"/>
    <row r="627" ht="13.5" customHeight="1" x14ac:dyDescent="0.15"/>
    <row r="628" ht="13.5" customHeight="1" x14ac:dyDescent="0.15"/>
    <row r="629" ht="13.5" customHeight="1" x14ac:dyDescent="0.15"/>
    <row r="630" ht="13.5" customHeight="1" x14ac:dyDescent="0.15"/>
    <row r="631" ht="13.5" customHeight="1" x14ac:dyDescent="0.15"/>
    <row r="632" ht="13.5" customHeight="1" x14ac:dyDescent="0.15"/>
    <row r="633" ht="13.5" customHeight="1" x14ac:dyDescent="0.15"/>
    <row r="634" ht="13.5" customHeight="1" x14ac:dyDescent="0.15"/>
    <row r="635" ht="13.5" customHeight="1" x14ac:dyDescent="0.15"/>
    <row r="636" ht="13.5" customHeight="1" x14ac:dyDescent="0.15"/>
    <row r="637" ht="13.5" customHeight="1" x14ac:dyDescent="0.15"/>
    <row r="638" ht="13.5" customHeight="1" x14ac:dyDescent="0.15"/>
    <row r="639" ht="13.5" customHeight="1" x14ac:dyDescent="0.15"/>
    <row r="640" ht="13.5" customHeight="1" x14ac:dyDescent="0.15"/>
    <row r="641" ht="13.5" customHeight="1" x14ac:dyDescent="0.15"/>
    <row r="642" ht="13.5" customHeight="1" x14ac:dyDescent="0.15"/>
    <row r="643" ht="13.5" customHeight="1" x14ac:dyDescent="0.15"/>
    <row r="644" ht="13.5" customHeight="1" x14ac:dyDescent="0.15"/>
    <row r="645" ht="13.5" customHeight="1" x14ac:dyDescent="0.15"/>
    <row r="646" ht="13.5" customHeight="1" x14ac:dyDescent="0.15"/>
    <row r="647" ht="13.5" customHeight="1" x14ac:dyDescent="0.15"/>
    <row r="648" ht="13.5" customHeight="1" x14ac:dyDescent="0.15"/>
    <row r="649" ht="13.5" customHeight="1" x14ac:dyDescent="0.15"/>
    <row r="650" ht="13.5" customHeight="1" x14ac:dyDescent="0.15"/>
    <row r="651" ht="13.5" customHeight="1" x14ac:dyDescent="0.15"/>
    <row r="652" ht="13.5" customHeight="1" x14ac:dyDescent="0.15"/>
    <row r="653" ht="13.5" customHeight="1" x14ac:dyDescent="0.15"/>
    <row r="654" ht="13.5" customHeight="1" x14ac:dyDescent="0.15"/>
    <row r="655" ht="13.5" customHeight="1" x14ac:dyDescent="0.15"/>
    <row r="656" ht="13.5" customHeight="1" x14ac:dyDescent="0.15"/>
    <row r="657" ht="13.5" customHeight="1" x14ac:dyDescent="0.15"/>
    <row r="658" ht="13.5" customHeight="1" x14ac:dyDescent="0.15"/>
    <row r="659" ht="13.5" customHeight="1" x14ac:dyDescent="0.15"/>
    <row r="660" ht="13.5" customHeight="1" x14ac:dyDescent="0.15"/>
    <row r="661" ht="13.5" customHeight="1" x14ac:dyDescent="0.15"/>
    <row r="662" ht="13.5" customHeight="1" x14ac:dyDescent="0.15"/>
    <row r="663" ht="13.5" customHeight="1" x14ac:dyDescent="0.15"/>
    <row r="664" ht="13.5" customHeight="1" x14ac:dyDescent="0.15"/>
    <row r="665" ht="13.5" customHeight="1" x14ac:dyDescent="0.15"/>
    <row r="666" ht="13.5" customHeight="1" x14ac:dyDescent="0.15"/>
    <row r="667" ht="13.5" customHeight="1" x14ac:dyDescent="0.15"/>
    <row r="668" ht="13.5" customHeight="1" x14ac:dyDescent="0.15"/>
    <row r="669" ht="13.5" customHeight="1" x14ac:dyDescent="0.15"/>
    <row r="670" ht="13.5" customHeight="1" x14ac:dyDescent="0.15"/>
    <row r="671" ht="13.5" customHeight="1" x14ac:dyDescent="0.15"/>
    <row r="672" ht="13.5" customHeight="1" x14ac:dyDescent="0.15"/>
    <row r="673" ht="13.5" customHeight="1" x14ac:dyDescent="0.15"/>
    <row r="674" ht="13.5" customHeight="1" x14ac:dyDescent="0.15"/>
    <row r="675" ht="13.5" customHeight="1" x14ac:dyDescent="0.15"/>
    <row r="676" ht="13.5" customHeight="1" x14ac:dyDescent="0.15"/>
    <row r="677" ht="13.5" customHeight="1" x14ac:dyDescent="0.15"/>
    <row r="678" ht="13.5" customHeight="1" x14ac:dyDescent="0.15"/>
    <row r="679" ht="13.5" customHeight="1" x14ac:dyDescent="0.15"/>
    <row r="680" ht="13.5" customHeight="1" x14ac:dyDescent="0.15"/>
    <row r="681" ht="13.5" customHeight="1" x14ac:dyDescent="0.15"/>
    <row r="682" ht="13.5" customHeight="1" x14ac:dyDescent="0.15"/>
    <row r="683" ht="13.5" customHeight="1" x14ac:dyDescent="0.15"/>
    <row r="684" ht="13.5" customHeight="1" x14ac:dyDescent="0.15"/>
    <row r="685" ht="13.5" customHeight="1" x14ac:dyDescent="0.15"/>
    <row r="686" ht="13.5" customHeight="1" x14ac:dyDescent="0.15"/>
    <row r="687" ht="13.5" customHeight="1" x14ac:dyDescent="0.15"/>
    <row r="688" ht="13.5" customHeight="1" x14ac:dyDescent="0.15"/>
    <row r="689" ht="13.5" customHeight="1" x14ac:dyDescent="0.15"/>
    <row r="690" ht="13.5" customHeight="1" x14ac:dyDescent="0.15"/>
    <row r="691" ht="13.5" customHeight="1" x14ac:dyDescent="0.15"/>
    <row r="692" ht="13.5" customHeight="1" x14ac:dyDescent="0.15"/>
    <row r="693" ht="13.5" customHeight="1" x14ac:dyDescent="0.15"/>
    <row r="694" ht="13.5" customHeight="1" x14ac:dyDescent="0.15"/>
    <row r="695" ht="13.5" customHeight="1" x14ac:dyDescent="0.15"/>
    <row r="696" ht="13.5" customHeight="1" x14ac:dyDescent="0.15"/>
    <row r="697" ht="13.5" customHeight="1" x14ac:dyDescent="0.15"/>
    <row r="698" ht="13.5" customHeight="1" x14ac:dyDescent="0.15"/>
    <row r="699" ht="13.5" customHeight="1" x14ac:dyDescent="0.15"/>
    <row r="700" ht="13.5" customHeight="1" x14ac:dyDescent="0.15"/>
    <row r="701" ht="13.5" customHeight="1" x14ac:dyDescent="0.15"/>
    <row r="702" ht="13.5" customHeight="1" x14ac:dyDescent="0.15"/>
    <row r="703" ht="13.5" customHeight="1" x14ac:dyDescent="0.15"/>
    <row r="704" ht="13.5" customHeight="1" x14ac:dyDescent="0.15"/>
    <row r="705" ht="13.5" customHeight="1" x14ac:dyDescent="0.15"/>
    <row r="706" ht="13.5" customHeight="1" x14ac:dyDescent="0.15"/>
    <row r="707" ht="13.5" customHeight="1" x14ac:dyDescent="0.15"/>
    <row r="708" ht="13.5" customHeight="1" x14ac:dyDescent="0.15"/>
    <row r="709" ht="13.5" customHeight="1" x14ac:dyDescent="0.15"/>
    <row r="710" ht="13.5" customHeight="1" x14ac:dyDescent="0.15"/>
    <row r="711" ht="13.5" customHeight="1" x14ac:dyDescent="0.15"/>
    <row r="712" ht="13.5" customHeight="1" x14ac:dyDescent="0.15"/>
    <row r="713" ht="13.5" customHeight="1" x14ac:dyDescent="0.15"/>
    <row r="714" ht="13.5" customHeight="1" x14ac:dyDescent="0.15"/>
    <row r="715" ht="13.5" customHeight="1" x14ac:dyDescent="0.15"/>
    <row r="716" ht="13.5" customHeight="1" x14ac:dyDescent="0.15"/>
    <row r="717" ht="13.5" customHeight="1" x14ac:dyDescent="0.15"/>
    <row r="718" ht="13.5" customHeight="1" x14ac:dyDescent="0.15"/>
    <row r="719" ht="13.5" customHeight="1" x14ac:dyDescent="0.15"/>
    <row r="720" ht="13.5" customHeight="1" x14ac:dyDescent="0.15"/>
    <row r="721" ht="13.5" customHeight="1" x14ac:dyDescent="0.15"/>
    <row r="722" ht="13.5" customHeight="1" x14ac:dyDescent="0.15"/>
    <row r="723" ht="13.5" customHeight="1" x14ac:dyDescent="0.15"/>
    <row r="724" ht="13.5" customHeight="1" x14ac:dyDescent="0.15"/>
    <row r="725" ht="13.5" customHeight="1" x14ac:dyDescent="0.15"/>
    <row r="726" ht="13.5" customHeight="1" x14ac:dyDescent="0.15"/>
    <row r="727" ht="13.5" customHeight="1" x14ac:dyDescent="0.15"/>
    <row r="728" ht="13.5" customHeight="1" x14ac:dyDescent="0.15"/>
    <row r="729" ht="13.5" customHeight="1" x14ac:dyDescent="0.15"/>
    <row r="730" ht="13.5" customHeight="1" x14ac:dyDescent="0.15"/>
    <row r="731" ht="13.5" customHeight="1" x14ac:dyDescent="0.15"/>
    <row r="732" ht="13.5" customHeight="1" x14ac:dyDescent="0.15"/>
    <row r="733" ht="13.5" customHeight="1" x14ac:dyDescent="0.15"/>
    <row r="734" ht="13.5" customHeight="1" x14ac:dyDescent="0.15"/>
    <row r="735" ht="13.5" customHeight="1" x14ac:dyDescent="0.15"/>
    <row r="736" ht="13.5" customHeight="1" x14ac:dyDescent="0.15"/>
    <row r="737" ht="13.5" customHeight="1" x14ac:dyDescent="0.15"/>
    <row r="738" ht="13.5" customHeight="1" x14ac:dyDescent="0.15"/>
    <row r="739" ht="13.5" customHeight="1" x14ac:dyDescent="0.15"/>
    <row r="740" ht="13.5" customHeight="1" x14ac:dyDescent="0.15"/>
    <row r="741" ht="13.5" customHeight="1" x14ac:dyDescent="0.15"/>
    <row r="742" ht="13.5" customHeight="1" x14ac:dyDescent="0.15"/>
    <row r="743" ht="13.5" customHeight="1" x14ac:dyDescent="0.15"/>
    <row r="744" ht="13.5" customHeight="1" x14ac:dyDescent="0.15"/>
    <row r="745" ht="13.5" customHeight="1" x14ac:dyDescent="0.15"/>
    <row r="746" ht="13.5" customHeight="1" x14ac:dyDescent="0.15"/>
    <row r="747" ht="13.5" customHeight="1" x14ac:dyDescent="0.15"/>
    <row r="748" ht="13.5" customHeight="1" x14ac:dyDescent="0.15"/>
    <row r="749" ht="13.5" customHeight="1" x14ac:dyDescent="0.15"/>
    <row r="750" ht="13.5" customHeight="1" x14ac:dyDescent="0.15"/>
    <row r="751" ht="13.5" customHeight="1" x14ac:dyDescent="0.15"/>
    <row r="752" ht="13.5" customHeight="1" x14ac:dyDescent="0.15"/>
    <row r="753" ht="13.5" customHeight="1" x14ac:dyDescent="0.15"/>
    <row r="754" ht="13.5" customHeight="1" x14ac:dyDescent="0.15"/>
    <row r="755" ht="13.5" customHeight="1" x14ac:dyDescent="0.15"/>
    <row r="756" ht="13.5" customHeight="1" x14ac:dyDescent="0.15"/>
    <row r="757" ht="13.5" customHeight="1" x14ac:dyDescent="0.15"/>
    <row r="758" ht="13.5" customHeight="1" x14ac:dyDescent="0.15"/>
    <row r="759" ht="13.5" customHeight="1" x14ac:dyDescent="0.15"/>
    <row r="760" ht="13.5" customHeight="1" x14ac:dyDescent="0.15"/>
    <row r="761" ht="13.5" customHeight="1" x14ac:dyDescent="0.15"/>
    <row r="762" ht="13.5" customHeight="1" x14ac:dyDescent="0.15"/>
    <row r="763" ht="13.5" customHeight="1" x14ac:dyDescent="0.15"/>
    <row r="764" ht="13.5" customHeight="1" x14ac:dyDescent="0.15"/>
    <row r="765" ht="13.5" customHeight="1" x14ac:dyDescent="0.15"/>
    <row r="766" ht="13.5" customHeight="1" x14ac:dyDescent="0.15"/>
    <row r="767" ht="13.5" customHeight="1" x14ac:dyDescent="0.15"/>
    <row r="768" ht="13.5" customHeight="1" x14ac:dyDescent="0.15"/>
    <row r="769" ht="13.5" customHeight="1" x14ac:dyDescent="0.15"/>
    <row r="770" ht="13.5" customHeight="1" x14ac:dyDescent="0.15"/>
    <row r="771" ht="13.5" customHeight="1" x14ac:dyDescent="0.15"/>
    <row r="772" ht="13.5" customHeight="1" x14ac:dyDescent="0.15"/>
    <row r="773" ht="13.5" customHeight="1" x14ac:dyDescent="0.15"/>
    <row r="774" ht="13.5" customHeight="1" x14ac:dyDescent="0.15"/>
    <row r="775" ht="13.5" customHeight="1" x14ac:dyDescent="0.15"/>
    <row r="776" ht="13.5" customHeight="1" x14ac:dyDescent="0.15"/>
    <row r="777" ht="13.5" customHeight="1" x14ac:dyDescent="0.15"/>
    <row r="778" ht="13.5" customHeight="1" x14ac:dyDescent="0.15"/>
    <row r="779" ht="13.5" customHeight="1" x14ac:dyDescent="0.15"/>
    <row r="780" ht="13.5" customHeight="1" x14ac:dyDescent="0.15"/>
    <row r="781" ht="13.5" customHeight="1" x14ac:dyDescent="0.15"/>
    <row r="782" ht="13.5" customHeight="1" x14ac:dyDescent="0.15"/>
    <row r="783" ht="13.5" customHeight="1" x14ac:dyDescent="0.15"/>
    <row r="784" ht="13.5" customHeight="1" x14ac:dyDescent="0.15"/>
    <row r="785" ht="13.5" customHeight="1" x14ac:dyDescent="0.15"/>
    <row r="786" ht="13.5" customHeight="1" x14ac:dyDescent="0.15"/>
    <row r="787" ht="13.5" customHeight="1" x14ac:dyDescent="0.15"/>
    <row r="788" ht="13.5" customHeight="1" x14ac:dyDescent="0.15"/>
    <row r="789" ht="13.5" customHeight="1" x14ac:dyDescent="0.15"/>
    <row r="790" ht="13.5" customHeight="1" x14ac:dyDescent="0.15"/>
    <row r="791" ht="13.5" customHeight="1" x14ac:dyDescent="0.15"/>
    <row r="792" ht="13.5" customHeight="1" x14ac:dyDescent="0.15"/>
    <row r="793" ht="13.5" customHeight="1" x14ac:dyDescent="0.15"/>
    <row r="794" ht="13.5" customHeight="1" x14ac:dyDescent="0.15"/>
    <row r="795" ht="13.5" customHeight="1" x14ac:dyDescent="0.15"/>
    <row r="796" ht="13.5" customHeight="1" x14ac:dyDescent="0.15"/>
    <row r="797" ht="13.5" customHeight="1" x14ac:dyDescent="0.15"/>
    <row r="798" ht="13.5" customHeight="1" x14ac:dyDescent="0.15"/>
    <row r="799" ht="13.5" customHeight="1" x14ac:dyDescent="0.15"/>
    <row r="800" ht="13.5" customHeight="1" x14ac:dyDescent="0.15"/>
    <row r="801" ht="13.5" customHeight="1" x14ac:dyDescent="0.15"/>
    <row r="802" ht="13.5" customHeight="1" x14ac:dyDescent="0.15"/>
    <row r="803" ht="13.5" customHeight="1" x14ac:dyDescent="0.15"/>
    <row r="804" ht="13.5" customHeight="1" x14ac:dyDescent="0.15"/>
    <row r="805" ht="13.5" customHeight="1" x14ac:dyDescent="0.15"/>
    <row r="806" ht="13.5" customHeight="1" x14ac:dyDescent="0.15"/>
    <row r="807" ht="13.5" customHeight="1" x14ac:dyDescent="0.15"/>
    <row r="808" ht="13.5" customHeight="1" x14ac:dyDescent="0.15"/>
    <row r="809" ht="13.5" customHeight="1" x14ac:dyDescent="0.15"/>
    <row r="810" ht="13.5" customHeight="1" x14ac:dyDescent="0.15"/>
    <row r="811" ht="13.5" customHeight="1" x14ac:dyDescent="0.15"/>
    <row r="812" ht="13.5" customHeight="1" x14ac:dyDescent="0.15"/>
    <row r="813" ht="13.5" customHeight="1" x14ac:dyDescent="0.15"/>
    <row r="814" ht="13.5" customHeight="1" x14ac:dyDescent="0.15"/>
    <row r="815" ht="13.5" customHeight="1" x14ac:dyDescent="0.15"/>
    <row r="816" ht="13.5" customHeight="1" x14ac:dyDescent="0.15"/>
    <row r="817" ht="13.5" customHeight="1" x14ac:dyDescent="0.15"/>
    <row r="818" ht="13.5" customHeight="1" x14ac:dyDescent="0.15"/>
    <row r="819" ht="13.5" customHeight="1" x14ac:dyDescent="0.15"/>
    <row r="820" ht="13.5" customHeight="1" x14ac:dyDescent="0.15"/>
    <row r="821" ht="13.5" customHeight="1" x14ac:dyDescent="0.15"/>
    <row r="822" ht="13.5" customHeight="1" x14ac:dyDescent="0.15"/>
    <row r="823" ht="13.5" customHeight="1" x14ac:dyDescent="0.15"/>
    <row r="824" ht="13.5" customHeight="1" x14ac:dyDescent="0.15"/>
    <row r="825" ht="13.5" customHeight="1" x14ac:dyDescent="0.15"/>
    <row r="826" ht="13.5" customHeight="1" x14ac:dyDescent="0.15"/>
    <row r="827" ht="13.5" customHeight="1" x14ac:dyDescent="0.15"/>
    <row r="828" ht="13.5" customHeight="1" x14ac:dyDescent="0.15"/>
    <row r="829" ht="13.5" customHeight="1" x14ac:dyDescent="0.15"/>
    <row r="830" ht="13.5" customHeight="1" x14ac:dyDescent="0.15"/>
    <row r="831" ht="13.5" customHeight="1" x14ac:dyDescent="0.15"/>
    <row r="832" ht="13.5" customHeight="1" x14ac:dyDescent="0.15"/>
    <row r="833" ht="13.5" customHeight="1" x14ac:dyDescent="0.15"/>
    <row r="834" ht="13.5" customHeight="1" x14ac:dyDescent="0.15"/>
    <row r="835" ht="13.5" customHeight="1" x14ac:dyDescent="0.15"/>
    <row r="836" ht="13.5" customHeight="1" x14ac:dyDescent="0.15"/>
    <row r="837" ht="13.5" customHeight="1" x14ac:dyDescent="0.15"/>
    <row r="838" ht="13.5" customHeight="1" x14ac:dyDescent="0.15"/>
    <row r="839" ht="13.5" customHeight="1" x14ac:dyDescent="0.15"/>
    <row r="840" ht="13.5" customHeight="1" x14ac:dyDescent="0.15"/>
    <row r="841" ht="13.5" customHeight="1" x14ac:dyDescent="0.15"/>
    <row r="842" ht="13.5" customHeight="1" x14ac:dyDescent="0.15"/>
    <row r="843" ht="13.5" customHeight="1" x14ac:dyDescent="0.15"/>
    <row r="844" ht="13.5" customHeight="1" x14ac:dyDescent="0.15"/>
    <row r="845" ht="13.5" customHeight="1" x14ac:dyDescent="0.15"/>
    <row r="846" ht="13.5" customHeight="1" x14ac:dyDescent="0.15"/>
    <row r="847" ht="13.5" customHeight="1" x14ac:dyDescent="0.15"/>
    <row r="848" ht="13.5" customHeight="1" x14ac:dyDescent="0.15"/>
    <row r="849" ht="13.5" customHeight="1" x14ac:dyDescent="0.15"/>
    <row r="850" ht="13.5" customHeight="1" x14ac:dyDescent="0.15"/>
    <row r="851" ht="13.5" customHeight="1" x14ac:dyDescent="0.15"/>
    <row r="852" ht="13.5" customHeight="1" x14ac:dyDescent="0.15"/>
    <row r="853" ht="13.5" customHeight="1" x14ac:dyDescent="0.15"/>
    <row r="854" ht="13.5" customHeight="1" x14ac:dyDescent="0.15"/>
    <row r="855" ht="13.5" customHeight="1" x14ac:dyDescent="0.15"/>
    <row r="856" ht="13.5" customHeight="1" x14ac:dyDescent="0.15"/>
    <row r="857" ht="13.5" customHeight="1" x14ac:dyDescent="0.15"/>
    <row r="858" ht="13.5" customHeight="1" x14ac:dyDescent="0.15"/>
    <row r="859" ht="13.5" customHeight="1" x14ac:dyDescent="0.15"/>
    <row r="860" ht="13.5" customHeight="1" x14ac:dyDescent="0.15"/>
    <row r="861" ht="13.5" customHeight="1" x14ac:dyDescent="0.15"/>
    <row r="862" ht="13.5" customHeight="1" x14ac:dyDescent="0.15"/>
    <row r="863" ht="13.5" customHeight="1" x14ac:dyDescent="0.15"/>
    <row r="864" ht="13.5" customHeight="1" x14ac:dyDescent="0.15"/>
    <row r="865" ht="13.5" customHeight="1" x14ac:dyDescent="0.15"/>
    <row r="866" ht="13.5" customHeight="1" x14ac:dyDescent="0.15"/>
    <row r="867" ht="13.5" customHeight="1" x14ac:dyDescent="0.15"/>
    <row r="868" ht="13.5" customHeight="1" x14ac:dyDescent="0.15"/>
    <row r="869" ht="13.5" customHeight="1" x14ac:dyDescent="0.15"/>
    <row r="870" ht="13.5" customHeight="1" x14ac:dyDescent="0.15"/>
    <row r="871" ht="13.5" customHeight="1" x14ac:dyDescent="0.15"/>
    <row r="872" ht="13.5" customHeight="1" x14ac:dyDescent="0.15"/>
    <row r="873" ht="13.5" customHeight="1" x14ac:dyDescent="0.15"/>
    <row r="874" ht="13.5" customHeight="1" x14ac:dyDescent="0.15"/>
    <row r="875" ht="13.5" customHeight="1" x14ac:dyDescent="0.15"/>
    <row r="876" ht="13.5" customHeight="1" x14ac:dyDescent="0.15"/>
    <row r="877" ht="13.5" customHeight="1" x14ac:dyDescent="0.15"/>
    <row r="878" ht="13.5" customHeight="1" x14ac:dyDescent="0.15"/>
    <row r="879" ht="13.5" customHeight="1" x14ac:dyDescent="0.15"/>
    <row r="880" ht="13.5" customHeight="1" x14ac:dyDescent="0.15"/>
    <row r="881" ht="13.5" customHeight="1" x14ac:dyDescent="0.15"/>
    <row r="882" ht="13.5" customHeight="1" x14ac:dyDescent="0.15"/>
    <row r="883" ht="13.5" customHeight="1" x14ac:dyDescent="0.15"/>
    <row r="884" ht="13.5" customHeight="1" x14ac:dyDescent="0.15"/>
    <row r="885" ht="13.5" customHeight="1" x14ac:dyDescent="0.15"/>
    <row r="886" ht="13.5" customHeight="1" x14ac:dyDescent="0.15"/>
    <row r="887" ht="13.5" customHeight="1" x14ac:dyDescent="0.15"/>
    <row r="888" ht="13.5" customHeight="1" x14ac:dyDescent="0.15"/>
    <row r="889" ht="13.5" customHeight="1" x14ac:dyDescent="0.15"/>
    <row r="890" ht="13.5" customHeight="1" x14ac:dyDescent="0.15"/>
    <row r="891" ht="13.5" customHeight="1" x14ac:dyDescent="0.15"/>
    <row r="892" ht="13.5" customHeight="1" x14ac:dyDescent="0.15"/>
    <row r="893" ht="13.5" customHeight="1" x14ac:dyDescent="0.15"/>
    <row r="894" ht="13.5" customHeight="1" x14ac:dyDescent="0.15"/>
    <row r="895" ht="13.5" customHeight="1" x14ac:dyDescent="0.15"/>
    <row r="896" ht="13.5" customHeight="1" x14ac:dyDescent="0.15"/>
    <row r="897" ht="13.5" customHeight="1" x14ac:dyDescent="0.15"/>
    <row r="898" ht="13.5" customHeight="1" x14ac:dyDescent="0.15"/>
    <row r="899" ht="13.5" customHeight="1" x14ac:dyDescent="0.15"/>
    <row r="900" ht="13.5" customHeight="1" x14ac:dyDescent="0.15"/>
    <row r="901" ht="13.5" customHeight="1" x14ac:dyDescent="0.15"/>
    <row r="902" ht="13.5" customHeight="1" x14ac:dyDescent="0.15"/>
    <row r="903" ht="13.5" customHeight="1" x14ac:dyDescent="0.15"/>
    <row r="904" ht="13.5" customHeight="1" x14ac:dyDescent="0.15"/>
    <row r="905" ht="13.5" customHeight="1" x14ac:dyDescent="0.15"/>
    <row r="906" ht="13.5" customHeight="1" x14ac:dyDescent="0.15"/>
    <row r="907" ht="13.5" customHeight="1" x14ac:dyDescent="0.15"/>
    <row r="908" ht="13.5" customHeight="1" x14ac:dyDescent="0.15"/>
    <row r="909" ht="13.5" customHeight="1" x14ac:dyDescent="0.15"/>
    <row r="910" ht="13.5" customHeight="1" x14ac:dyDescent="0.15"/>
    <row r="911" ht="13.5" customHeight="1" x14ac:dyDescent="0.15"/>
    <row r="912" ht="13.5" customHeight="1" x14ac:dyDescent="0.15"/>
    <row r="913" ht="13.5" customHeight="1" x14ac:dyDescent="0.15"/>
    <row r="914" ht="13.5" customHeight="1" x14ac:dyDescent="0.15"/>
    <row r="915" ht="13.5" customHeight="1" x14ac:dyDescent="0.15"/>
    <row r="916" ht="13.5" customHeight="1" x14ac:dyDescent="0.15"/>
    <row r="917" ht="13.5" customHeight="1" x14ac:dyDescent="0.15"/>
    <row r="918" ht="13.5" customHeight="1" x14ac:dyDescent="0.15"/>
    <row r="919" ht="13.5" customHeight="1" x14ac:dyDescent="0.15"/>
    <row r="920" ht="13.5" customHeight="1" x14ac:dyDescent="0.15"/>
    <row r="921" ht="13.5" customHeight="1" x14ac:dyDescent="0.15"/>
    <row r="922" ht="13.5" customHeight="1" x14ac:dyDescent="0.15"/>
    <row r="923" ht="13.5" customHeight="1" x14ac:dyDescent="0.15"/>
    <row r="924" ht="13.5" customHeight="1" x14ac:dyDescent="0.15"/>
    <row r="925" ht="13.5" customHeight="1" x14ac:dyDescent="0.15"/>
    <row r="926" ht="13.5" customHeight="1" x14ac:dyDescent="0.15"/>
    <row r="927" ht="13.5" customHeight="1" x14ac:dyDescent="0.15"/>
    <row r="928" ht="13.5" customHeight="1" x14ac:dyDescent="0.15"/>
    <row r="929" ht="13.5" customHeight="1" x14ac:dyDescent="0.15"/>
    <row r="930" ht="13.5" customHeight="1" x14ac:dyDescent="0.15"/>
    <row r="931" ht="13.5" customHeight="1" x14ac:dyDescent="0.15"/>
    <row r="932" ht="13.5" customHeight="1" x14ac:dyDescent="0.15"/>
    <row r="933" ht="13.5" customHeight="1" x14ac:dyDescent="0.15"/>
    <row r="934" ht="13.5" customHeight="1" x14ac:dyDescent="0.15"/>
    <row r="935" ht="13.5" customHeight="1" x14ac:dyDescent="0.15"/>
    <row r="936" ht="13.5" customHeight="1" x14ac:dyDescent="0.15"/>
    <row r="937" ht="13.5" customHeight="1" x14ac:dyDescent="0.15"/>
    <row r="938" ht="13.5" customHeight="1" x14ac:dyDescent="0.15"/>
    <row r="939" ht="13.5" customHeight="1" x14ac:dyDescent="0.15"/>
    <row r="940" ht="13.5" customHeight="1" x14ac:dyDescent="0.15"/>
    <row r="941" ht="13.5" customHeight="1" x14ac:dyDescent="0.15"/>
    <row r="942" ht="13.5" customHeight="1" x14ac:dyDescent="0.15"/>
    <row r="943" ht="13.5" customHeight="1" x14ac:dyDescent="0.15"/>
    <row r="944" ht="13.5" customHeight="1" x14ac:dyDescent="0.15"/>
    <row r="945" ht="13.5" customHeight="1" x14ac:dyDescent="0.15"/>
    <row r="946" ht="13.5" customHeight="1" x14ac:dyDescent="0.15"/>
    <row r="947" ht="13.5" customHeight="1" x14ac:dyDescent="0.15"/>
    <row r="948" ht="13.5" customHeight="1" x14ac:dyDescent="0.15"/>
    <row r="949" ht="13.5" customHeight="1" x14ac:dyDescent="0.15"/>
    <row r="950" ht="13.5" customHeight="1" x14ac:dyDescent="0.15"/>
    <row r="951" ht="13.5" customHeight="1" x14ac:dyDescent="0.15"/>
    <row r="952" ht="13.5" customHeight="1" x14ac:dyDescent="0.15"/>
    <row r="953" ht="13.5" customHeight="1" x14ac:dyDescent="0.15"/>
    <row r="954" ht="13.5" customHeight="1" x14ac:dyDescent="0.15"/>
    <row r="955" ht="13.5" customHeight="1" x14ac:dyDescent="0.15"/>
    <row r="956" ht="13.5" customHeight="1" x14ac:dyDescent="0.15"/>
    <row r="957" ht="13.5" customHeight="1" x14ac:dyDescent="0.15"/>
    <row r="958" ht="13.5" customHeight="1" x14ac:dyDescent="0.15"/>
    <row r="959" ht="13.5" customHeight="1" x14ac:dyDescent="0.15"/>
    <row r="960" ht="13.5" customHeight="1" x14ac:dyDescent="0.15"/>
    <row r="961" ht="13.5" customHeight="1" x14ac:dyDescent="0.15"/>
    <row r="962" ht="13.5" customHeight="1" x14ac:dyDescent="0.15"/>
    <row r="963" ht="13.5" customHeight="1" x14ac:dyDescent="0.15"/>
    <row r="964" ht="13.5" customHeight="1" x14ac:dyDescent="0.15"/>
    <row r="965" ht="13.5" customHeight="1" x14ac:dyDescent="0.15"/>
    <row r="966" ht="13.5" customHeight="1" x14ac:dyDescent="0.15"/>
    <row r="967" ht="13.5" customHeight="1" x14ac:dyDescent="0.15"/>
    <row r="968" ht="13.5" customHeight="1" x14ac:dyDescent="0.15"/>
    <row r="969" ht="13.5" customHeight="1" x14ac:dyDescent="0.15"/>
    <row r="970" ht="13.5" customHeight="1" x14ac:dyDescent="0.15"/>
    <row r="971" ht="13.5" customHeight="1" x14ac:dyDescent="0.15"/>
    <row r="972" ht="13.5" customHeight="1" x14ac:dyDescent="0.15"/>
    <row r="973" ht="13.5" customHeight="1" x14ac:dyDescent="0.15"/>
    <row r="974" ht="13.5" customHeight="1" x14ac:dyDescent="0.15"/>
    <row r="975" ht="13.5" customHeight="1" x14ac:dyDescent="0.15"/>
    <row r="976" ht="13.5" customHeight="1" x14ac:dyDescent="0.15"/>
    <row r="977" ht="13.5" customHeight="1" x14ac:dyDescent="0.15"/>
    <row r="978" ht="13.5" customHeight="1" x14ac:dyDescent="0.15"/>
    <row r="979" ht="13.5" customHeight="1" x14ac:dyDescent="0.15"/>
    <row r="980" ht="13.5" customHeight="1" x14ac:dyDescent="0.15"/>
    <row r="981" ht="13.5" customHeight="1" x14ac:dyDescent="0.15"/>
    <row r="982" ht="13.5" customHeight="1" x14ac:dyDescent="0.15"/>
    <row r="983" ht="13.5" customHeight="1" x14ac:dyDescent="0.15"/>
    <row r="984" ht="13.5" customHeight="1" x14ac:dyDescent="0.15"/>
    <row r="985" ht="13.5" customHeight="1" x14ac:dyDescent="0.15"/>
    <row r="986" ht="13.5" customHeight="1" x14ac:dyDescent="0.15"/>
    <row r="987" ht="13.5" customHeight="1" x14ac:dyDescent="0.15"/>
    <row r="988" ht="13.5" customHeight="1" x14ac:dyDescent="0.15"/>
    <row r="989" ht="13.5" customHeight="1" x14ac:dyDescent="0.15"/>
    <row r="990" ht="13.5" customHeight="1" x14ac:dyDescent="0.15"/>
    <row r="991" ht="13.5" customHeight="1" x14ac:dyDescent="0.15"/>
    <row r="992" ht="13.5" customHeight="1" x14ac:dyDescent="0.15"/>
    <row r="993" ht="13.5" customHeight="1" x14ac:dyDescent="0.15"/>
    <row r="994" ht="13.5" customHeight="1" x14ac:dyDescent="0.15"/>
    <row r="995" ht="13.5" customHeight="1" x14ac:dyDescent="0.15"/>
    <row r="996" ht="13.5" customHeight="1" x14ac:dyDescent="0.15"/>
    <row r="997" ht="13.5" customHeight="1" x14ac:dyDescent="0.15"/>
    <row r="998" ht="13.5" customHeight="1" x14ac:dyDescent="0.15"/>
    <row r="999" ht="13.5" customHeight="1" x14ac:dyDescent="0.15"/>
    <row r="1000" ht="13.5" customHeight="1" x14ac:dyDescent="0.15"/>
  </sheetData>
  <pageMargins left="0.75" right="0.75" top="1" bottom="1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V1000"/>
  <sheetViews>
    <sheetView workbookViewId="0"/>
  </sheetViews>
  <sheetFormatPr baseColWidth="10" defaultColWidth="11.1640625" defaultRowHeight="15" customHeight="1" x14ac:dyDescent="0.15"/>
  <cols>
    <col min="1" max="256" width="8.83203125" customWidth="1"/>
  </cols>
  <sheetData>
    <row r="1" spans="1:256" ht="13.5" customHeight="1" x14ac:dyDescent="0.2">
      <c r="A1" s="52">
        <f>IF('Ark1'!1:1,"AAAAAF92jgA=",0)</f>
        <v>0</v>
      </c>
      <c r="B1" s="52" t="e">
        <f>AND('Ark1'!A1,"AAAAAF92jgE=")</f>
        <v>#VALUE!</v>
      </c>
      <c r="C1" s="52" t="e">
        <f>AND('Ark1'!B1,"AAAAAF92jgI=")</f>
        <v>#VALUE!</v>
      </c>
      <c r="D1" s="52" t="e">
        <f>AND('Ark1'!C1,"AAAAAF92jgM=")</f>
        <v>#VALUE!</v>
      </c>
      <c r="E1" s="52" t="e">
        <f>AND('Ark1'!D1,"AAAAAF92jgQ=")</f>
        <v>#VALUE!</v>
      </c>
      <c r="F1" s="52" t="e">
        <f>AND('Ark1'!E1,"AAAAAF92jgU=")</f>
        <v>#VALUE!</v>
      </c>
      <c r="G1" s="52" t="e">
        <f>AND('Ark1'!F1,"AAAAAF92jgY=")</f>
        <v>#VALUE!</v>
      </c>
      <c r="H1" s="52" t="e">
        <f>AND('Ark1'!G1,"AAAAAF92jgc=")</f>
        <v>#VALUE!</v>
      </c>
      <c r="I1" s="52" t="e">
        <f>AND('Ark1'!H1,"AAAAAF92jgg=")</f>
        <v>#VALUE!</v>
      </c>
      <c r="J1" s="52" t="e">
        <f>AND('Ark1'!I1,"AAAAAF92jgk=")</f>
        <v>#VALUE!</v>
      </c>
      <c r="K1" s="52" t="e">
        <f>AND('Ark1'!J1,"AAAAAF92jgo=")</f>
        <v>#VALUE!</v>
      </c>
      <c r="L1" s="52" t="e">
        <f>AND('Ark1'!K1,"AAAAAF92jgs=")</f>
        <v>#VALUE!</v>
      </c>
      <c r="M1" s="52" t="e">
        <f>AND('Ark1'!L1,"AAAAAF92jgw=")</f>
        <v>#VALUE!</v>
      </c>
      <c r="N1" s="52" t="e">
        <f>AND('Ark1'!M1,"AAAAAF92jg0=")</f>
        <v>#VALUE!</v>
      </c>
      <c r="O1" s="52">
        <f>IF('Ark1'!2:2,"AAAAAF92jg4=",0)</f>
        <v>0</v>
      </c>
      <c r="P1" s="52" t="e">
        <f>AND('Ark1'!A2,"AAAAAF92jg8=")</f>
        <v>#VALUE!</v>
      </c>
      <c r="Q1" s="52" t="e">
        <f>AND('Ark1'!B2,"AAAAAF92jhA=")</f>
        <v>#VALUE!</v>
      </c>
      <c r="R1" s="52" t="e">
        <f>AND('Ark1'!C2,"AAAAAF92jhE=")</f>
        <v>#VALUE!</v>
      </c>
      <c r="S1" s="52" t="e">
        <f>AND('Ark1'!D2,"AAAAAF92jhI=")</f>
        <v>#VALUE!</v>
      </c>
      <c r="T1" s="52" t="e">
        <f>AND('Ark1'!E2,"AAAAAF92jhM=")</f>
        <v>#VALUE!</v>
      </c>
      <c r="U1" s="52" t="e">
        <f>AND('Ark1'!F2,"AAAAAF92jhQ=")</f>
        <v>#VALUE!</v>
      </c>
      <c r="V1" s="52" t="e">
        <f>AND('Ark1'!G2,"AAAAAF92jhU=")</f>
        <v>#VALUE!</v>
      </c>
      <c r="W1" s="52" t="e">
        <f>AND('Ark1'!H2,"AAAAAF92jhY=")</f>
        <v>#VALUE!</v>
      </c>
      <c r="X1" s="52" t="e">
        <f>AND('Ark1'!I2,"AAAAAF92jhc=")</f>
        <v>#VALUE!</v>
      </c>
      <c r="Y1" s="52" t="e">
        <f>AND('Ark1'!J2,"AAAAAF92jhg=")</f>
        <v>#VALUE!</v>
      </c>
      <c r="Z1" s="52" t="e">
        <f>AND('Ark1'!K2,"AAAAAF92jhk=")</f>
        <v>#VALUE!</v>
      </c>
      <c r="AA1" s="52" t="e">
        <f>AND('Ark1'!L2,"AAAAAF92jho=")</f>
        <v>#VALUE!</v>
      </c>
      <c r="AB1" s="52" t="e">
        <f>AND('Ark1'!M2,"AAAAAF92jhs=")</f>
        <v>#VALUE!</v>
      </c>
      <c r="AC1" s="52">
        <f>IF('Ark1'!3:3,"AAAAAF92jhw=",0)</f>
        <v>0</v>
      </c>
      <c r="AD1" s="52" t="e">
        <f>AND('Ark1'!A3,"AAAAAF92jh0=")</f>
        <v>#VALUE!</v>
      </c>
      <c r="AE1" s="52" t="e">
        <f>AND('Ark1'!B3,"AAAAAF92jh4=")</f>
        <v>#VALUE!</v>
      </c>
      <c r="AF1" s="52" t="e">
        <f>AND('Ark1'!C3,"AAAAAF92jh8=")</f>
        <v>#VALUE!</v>
      </c>
      <c r="AG1" s="52" t="e">
        <f>AND('Ark1'!D3,"AAAAAF92jiA=")</f>
        <v>#VALUE!</v>
      </c>
      <c r="AH1" s="52" t="e">
        <f>AND('Ark1'!E3,"AAAAAF92jiE=")</f>
        <v>#VALUE!</v>
      </c>
      <c r="AI1" s="52" t="e">
        <f>AND('Ark1'!F3,"AAAAAF92jiI=")</f>
        <v>#VALUE!</v>
      </c>
      <c r="AJ1" s="52" t="e">
        <f>AND('Ark1'!G3,"AAAAAF92jiM=")</f>
        <v>#VALUE!</v>
      </c>
      <c r="AK1" s="52" t="e">
        <f>AND('Ark1'!H3,"AAAAAF92jiQ=")</f>
        <v>#VALUE!</v>
      </c>
      <c r="AL1" s="52" t="e">
        <f>AND('Ark1'!I3,"AAAAAF92jiU=")</f>
        <v>#VALUE!</v>
      </c>
      <c r="AM1" s="52" t="e">
        <f>AND('Ark1'!J3,"AAAAAF92jiY=")</f>
        <v>#VALUE!</v>
      </c>
      <c r="AN1" s="52" t="e">
        <f>AND('Ark1'!K3,"AAAAAF92jic=")</f>
        <v>#VALUE!</v>
      </c>
      <c r="AO1" s="52" t="e">
        <f>AND('Ark1'!L3,"AAAAAF92jig=")</f>
        <v>#VALUE!</v>
      </c>
      <c r="AP1" s="52" t="e">
        <f>AND('Ark1'!M3,"AAAAAF92jik=")</f>
        <v>#VALUE!</v>
      </c>
      <c r="AQ1" s="52">
        <f>IF('Ark1'!4:4,"AAAAAF92jio=",0)</f>
        <v>0</v>
      </c>
      <c r="AR1" s="52" t="e">
        <f>AND('Ark1'!A4,"AAAAAF92jis=")</f>
        <v>#VALUE!</v>
      </c>
      <c r="AS1" s="52" t="e">
        <f>AND('Ark1'!B4,"AAAAAF92jiw=")</f>
        <v>#VALUE!</v>
      </c>
      <c r="AT1" s="52" t="e">
        <f>AND('Ark1'!C4,"AAAAAF92ji0=")</f>
        <v>#VALUE!</v>
      </c>
      <c r="AU1" s="52" t="e">
        <f>AND('Ark1'!D4,"AAAAAF92ji4=")</f>
        <v>#VALUE!</v>
      </c>
      <c r="AV1" s="52" t="e">
        <f>AND('Ark1'!E4,"AAAAAF92ji8=")</f>
        <v>#VALUE!</v>
      </c>
      <c r="AW1" s="52" t="e">
        <f>AND('Ark1'!F4,"AAAAAF92jjA=")</f>
        <v>#VALUE!</v>
      </c>
      <c r="AX1" s="52" t="e">
        <f>AND('Ark1'!G4,"AAAAAF92jjE=")</f>
        <v>#VALUE!</v>
      </c>
      <c r="AY1" s="52" t="e">
        <f>AND('Ark1'!H4,"AAAAAF92jjI=")</f>
        <v>#VALUE!</v>
      </c>
      <c r="AZ1" s="52" t="e">
        <f>AND('Ark1'!I4,"AAAAAF92jjM=")</f>
        <v>#VALUE!</v>
      </c>
      <c r="BA1" s="52" t="e">
        <f>AND('Ark1'!#REF!,"AAAAAF92jjQ=")</f>
        <v>#REF!</v>
      </c>
      <c r="BB1" s="52" t="e">
        <f>AND('Ark1'!J4,"AAAAAF92jjU=")</f>
        <v>#VALUE!</v>
      </c>
      <c r="BC1" s="52" t="e">
        <f>AND('Ark1'!L4,"AAAAAF92jjY=")</f>
        <v>#VALUE!</v>
      </c>
      <c r="BD1" s="52" t="e">
        <f>AND('Ark1'!M4,"AAAAAF92jjc=")</f>
        <v>#VALUE!</v>
      </c>
      <c r="BE1" s="52">
        <f>IF('Ark1'!5:5,"AAAAAF92jjg=",0)</f>
        <v>0</v>
      </c>
      <c r="BF1" s="52" t="e">
        <f>AND('Ark1'!A5,"AAAAAF92jjk=")</f>
        <v>#VALUE!</v>
      </c>
      <c r="BG1" s="52" t="e">
        <f>AND('Ark1'!B5,"AAAAAF92jjo=")</f>
        <v>#VALUE!</v>
      </c>
      <c r="BH1" s="52" t="e">
        <f>AND('Ark1'!C5,"AAAAAF92jjs=")</f>
        <v>#VALUE!</v>
      </c>
      <c r="BI1" s="52" t="e">
        <f>AND('Ark1'!D5,"AAAAAF92jjw=")</f>
        <v>#VALUE!</v>
      </c>
      <c r="BJ1" s="52" t="e">
        <f>AND('Ark1'!E5,"AAAAAF92jj0=")</f>
        <v>#VALUE!</v>
      </c>
      <c r="BK1" s="52" t="e">
        <f>AND('Ark1'!F5,"AAAAAF92jj4=")</f>
        <v>#VALUE!</v>
      </c>
      <c r="BL1" s="52" t="e">
        <f>AND('Ark1'!G5,"AAAAAF92jj8=")</f>
        <v>#VALUE!</v>
      </c>
      <c r="BM1" s="52" t="e">
        <f>AND('Ark1'!H5,"AAAAAF92jkA=")</f>
        <v>#VALUE!</v>
      </c>
      <c r="BN1" s="52" t="e">
        <f>AND('Ark1'!I5,"AAAAAF92jkE=")</f>
        <v>#VALUE!</v>
      </c>
      <c r="BO1" s="52" t="e">
        <f>AND('Ark1'!J5,"AAAAAF92jkI=")</f>
        <v>#VALUE!</v>
      </c>
      <c r="BP1" s="52" t="e">
        <f>AND('Ark1'!K5,"AAAAAF92jkM=")</f>
        <v>#VALUE!</v>
      </c>
      <c r="BQ1" s="52" t="e">
        <f>AND('Ark1'!L5,"AAAAAF92jkQ=")</f>
        <v>#VALUE!</v>
      </c>
      <c r="BR1" s="52" t="e">
        <f>AND('Ark1'!M5,"AAAAAF92jkU=")</f>
        <v>#VALUE!</v>
      </c>
      <c r="BS1" s="52">
        <f>IF('Ark1'!6:6,"AAAAAF92jkY=",0)</f>
        <v>0</v>
      </c>
      <c r="BT1" s="52" t="e">
        <f>AND('Ark1'!A6,"AAAAAF92jkc=")</f>
        <v>#VALUE!</v>
      </c>
      <c r="BU1" s="52" t="e">
        <f>AND('Ark1'!B6,"AAAAAF92jkg=")</f>
        <v>#VALUE!</v>
      </c>
      <c r="BV1" s="52" t="e">
        <f>AND('Ark1'!#REF!,"AAAAAF92jkk=")</f>
        <v>#REF!</v>
      </c>
      <c r="BW1" s="52" t="e">
        <f>AND('Ark1'!C6,"AAAAAF92jko=")</f>
        <v>#VALUE!</v>
      </c>
      <c r="BX1" s="52" t="e">
        <f>AND('Ark1'!E6,"AAAAAF92jks=")</f>
        <v>#VALUE!</v>
      </c>
      <c r="BY1" s="52" t="e">
        <f>AND('Ark1'!F6,"AAAAAF92jkw=")</f>
        <v>#VALUE!</v>
      </c>
      <c r="BZ1" s="52" t="e">
        <f>AND('Ark1'!G6,"AAAAAF92jk0=")</f>
        <v>#VALUE!</v>
      </c>
      <c r="CA1" s="52" t="e">
        <f>AND('Ark1'!H6,"AAAAAF92jk4=")</f>
        <v>#VALUE!</v>
      </c>
      <c r="CB1" s="52" t="e">
        <f>AND('Ark1'!I6,"AAAAAF92jk8=")</f>
        <v>#VALUE!</v>
      </c>
      <c r="CC1" s="52" t="e">
        <f>AND('Ark1'!J6,"AAAAAF92jlA=")</f>
        <v>#VALUE!</v>
      </c>
      <c r="CD1" s="52" t="e">
        <f>AND('Ark1'!K6,"AAAAAF92jlE=")</f>
        <v>#VALUE!</v>
      </c>
      <c r="CE1" s="52" t="e">
        <f>AND('Ark1'!L6,"AAAAAF92jlI=")</f>
        <v>#VALUE!</v>
      </c>
      <c r="CF1" s="52" t="e">
        <f>AND('Ark1'!M6,"AAAAAF92jlM=")</f>
        <v>#VALUE!</v>
      </c>
      <c r="CG1" s="52">
        <f>IF('Ark1'!7:7,"AAAAAF92jlQ=",0)</f>
        <v>0</v>
      </c>
      <c r="CH1" s="52" t="e">
        <f>AND('Ark1'!A7,"AAAAAF92jlU=")</f>
        <v>#VALUE!</v>
      </c>
      <c r="CI1" s="52" t="e">
        <f>AND('Ark1'!B7,"AAAAAF92jlY=")</f>
        <v>#VALUE!</v>
      </c>
      <c r="CJ1" s="52" t="e">
        <f>AND('Ark1'!C7,"AAAAAF92jlc=")</f>
        <v>#VALUE!</v>
      </c>
      <c r="CK1" s="52" t="e">
        <f>AND('Ark1'!D7,"AAAAAF92jlg=")</f>
        <v>#VALUE!</v>
      </c>
      <c r="CL1" s="52" t="e">
        <f>AND('Ark1'!E7,"AAAAAF92jlk=")</f>
        <v>#VALUE!</v>
      </c>
      <c r="CM1" s="52" t="e">
        <f>AND('Ark1'!F7,"AAAAAF92jlo=")</f>
        <v>#VALUE!</v>
      </c>
      <c r="CN1" s="52" t="e">
        <f>AND('Ark1'!G7,"AAAAAF92jls=")</f>
        <v>#VALUE!</v>
      </c>
      <c r="CO1" s="52" t="e">
        <f>AND('Ark1'!H7,"AAAAAF92jlw=")</f>
        <v>#VALUE!</v>
      </c>
      <c r="CP1" s="52" t="e">
        <f>AND('Ark1'!I7,"AAAAAF92jl0=")</f>
        <v>#VALUE!</v>
      </c>
      <c r="CQ1" s="52" t="e">
        <f>AND('Ark1'!J7,"AAAAAF92jl4=")</f>
        <v>#VALUE!</v>
      </c>
      <c r="CR1" s="52" t="e">
        <f>AND('Ark1'!K7,"AAAAAF92jl8=")</f>
        <v>#VALUE!</v>
      </c>
      <c r="CS1" s="52" t="e">
        <f>AND('Ark1'!L7,"AAAAAF92jmA=")</f>
        <v>#VALUE!</v>
      </c>
      <c r="CT1" s="52" t="e">
        <f>AND('Ark1'!M7,"AAAAAF92jmE=")</f>
        <v>#VALUE!</v>
      </c>
      <c r="CU1" s="52">
        <f>IF('Ark1'!8:8,"AAAAAF92jmI=",0)</f>
        <v>0</v>
      </c>
      <c r="CV1" s="52" t="e">
        <f>AND('Ark1'!A8,"AAAAAF92jmM=")</f>
        <v>#VALUE!</v>
      </c>
      <c r="CW1" s="52" t="e">
        <f>AND('Ark1'!B8,"AAAAAF92jmQ=")</f>
        <v>#VALUE!</v>
      </c>
      <c r="CX1" s="52" t="e">
        <f>AND('Ark1'!C8,"AAAAAF92jmU=")</f>
        <v>#VALUE!</v>
      </c>
      <c r="CY1" s="52" t="e">
        <f>AND('Ark1'!D8,"AAAAAF92jmY=")</f>
        <v>#VALUE!</v>
      </c>
      <c r="CZ1" s="52" t="e">
        <f>AND('Ark1'!E8,"AAAAAF92jmc=")</f>
        <v>#VALUE!</v>
      </c>
      <c r="DA1" s="52" t="e">
        <f>AND('Ark1'!F8,"AAAAAF92jmg=")</f>
        <v>#VALUE!</v>
      </c>
      <c r="DB1" s="52" t="e">
        <f>AND('Ark1'!G8,"AAAAAF92jmk=")</f>
        <v>#VALUE!</v>
      </c>
      <c r="DC1" s="52" t="e">
        <f>AND('Ark1'!H8,"AAAAAF92jmo=")</f>
        <v>#VALUE!</v>
      </c>
      <c r="DD1" s="52" t="e">
        <f>AND('Ark1'!I8,"AAAAAF92jms=")</f>
        <v>#VALUE!</v>
      </c>
      <c r="DE1" s="52" t="e">
        <f>AND('Ark1'!J8,"AAAAAF92jmw=")</f>
        <v>#VALUE!</v>
      </c>
      <c r="DF1" s="52" t="e">
        <f>AND('Ark1'!K8,"AAAAAF92jm0=")</f>
        <v>#VALUE!</v>
      </c>
      <c r="DG1" s="52" t="e">
        <f>AND('Ark1'!L8,"AAAAAF92jm4=")</f>
        <v>#VALUE!</v>
      </c>
      <c r="DH1" s="52" t="e">
        <f>AND('Ark1'!M8,"AAAAAF92jm8=")</f>
        <v>#VALUE!</v>
      </c>
      <c r="DI1" s="52">
        <f>IF('Ark1'!9:9,"AAAAAF92jnA=",0)</f>
        <v>0</v>
      </c>
      <c r="DJ1" s="52" t="e">
        <f>AND('Ark1'!A9,"AAAAAF92jnE=")</f>
        <v>#VALUE!</v>
      </c>
      <c r="DK1" s="52" t="e">
        <f>AND('Ark1'!B9,"AAAAAF92jnI=")</f>
        <v>#VALUE!</v>
      </c>
      <c r="DL1" s="52" t="e">
        <f>AND('Ark1'!C9,"AAAAAF92jnM=")</f>
        <v>#VALUE!</v>
      </c>
      <c r="DM1" s="52" t="e">
        <f>AND('Ark1'!D9,"AAAAAF92jnQ=")</f>
        <v>#VALUE!</v>
      </c>
      <c r="DN1" s="52" t="e">
        <f>AND('Ark1'!E9,"AAAAAF92jnU=")</f>
        <v>#VALUE!</v>
      </c>
      <c r="DO1" s="52" t="e">
        <f>AND('Ark1'!F9,"AAAAAF92jnY=")</f>
        <v>#VALUE!</v>
      </c>
      <c r="DP1" s="52" t="e">
        <f>AND('Ark1'!G9,"AAAAAF92jnc=")</f>
        <v>#VALUE!</v>
      </c>
      <c r="DQ1" s="52" t="e">
        <f>AND('Ark1'!H9,"AAAAAF92jng=")</f>
        <v>#VALUE!</v>
      </c>
      <c r="DR1" s="52" t="e">
        <f>AND('Ark1'!I9,"AAAAAF92jnk=")</f>
        <v>#VALUE!</v>
      </c>
      <c r="DS1" s="52" t="e">
        <f>AND('Ark1'!J9,"AAAAAF92jno=")</f>
        <v>#VALUE!</v>
      </c>
      <c r="DT1" s="52" t="e">
        <f>AND('Ark1'!K9,"AAAAAF92jns=")</f>
        <v>#VALUE!</v>
      </c>
      <c r="DU1" s="52" t="e">
        <f>AND('Ark1'!L9,"AAAAAF92jnw=")</f>
        <v>#VALUE!</v>
      </c>
      <c r="DV1" s="52" t="e">
        <f>AND('Ark1'!M9,"AAAAAF92jn0=")</f>
        <v>#VALUE!</v>
      </c>
      <c r="DW1" s="52">
        <f>IF('Ark1'!10:10,"AAAAAF92jn4=",0)</f>
        <v>0</v>
      </c>
      <c r="DX1" s="52" t="e">
        <f>AND('Ark1'!A10,"AAAAAF92jn8=")</f>
        <v>#VALUE!</v>
      </c>
      <c r="DY1" s="52" t="e">
        <f>AND('Ark1'!B10,"AAAAAF92joA=")</f>
        <v>#VALUE!</v>
      </c>
      <c r="DZ1" s="52" t="e">
        <f>AND('Ark1'!C10,"AAAAAF92joE=")</f>
        <v>#VALUE!</v>
      </c>
      <c r="EA1" s="52" t="e">
        <f>AND('Ark1'!D10,"AAAAAF92joI=")</f>
        <v>#VALUE!</v>
      </c>
      <c r="EB1" s="52" t="e">
        <f>AND('Ark1'!E10,"AAAAAF92joM=")</f>
        <v>#VALUE!</v>
      </c>
      <c r="EC1" s="52" t="e">
        <f>AND('Ark1'!F10,"AAAAAF92joQ=")</f>
        <v>#VALUE!</v>
      </c>
      <c r="ED1" s="52" t="e">
        <f>AND('Ark1'!G10,"AAAAAF92joU=")</f>
        <v>#VALUE!</v>
      </c>
      <c r="EE1" s="52" t="e">
        <f>AND('Ark1'!H10,"AAAAAF92joY=")</f>
        <v>#VALUE!</v>
      </c>
      <c r="EF1" s="52" t="e">
        <f>AND('Ark1'!I10,"AAAAAF92joc=")</f>
        <v>#VALUE!</v>
      </c>
      <c r="EG1" s="52" t="e">
        <f>AND('Ark1'!J10,"AAAAAF92jog=")</f>
        <v>#VALUE!</v>
      </c>
      <c r="EH1" s="52" t="e">
        <f>AND('Ark1'!K10,"AAAAAF92jok=")</f>
        <v>#VALUE!</v>
      </c>
      <c r="EI1" s="52" t="e">
        <f>AND('Ark1'!L10,"AAAAAF92joo=")</f>
        <v>#VALUE!</v>
      </c>
      <c r="EJ1" s="52" t="e">
        <f>AND('Ark1'!M10,"AAAAAF92jos=")</f>
        <v>#VALUE!</v>
      </c>
      <c r="EK1" s="52">
        <f>IF('Ark1'!11:11,"AAAAAF92jow=",0)</f>
        <v>0</v>
      </c>
      <c r="EL1" s="52" t="e">
        <f>AND('Ark1'!A11,"AAAAAF92jo0=")</f>
        <v>#VALUE!</v>
      </c>
      <c r="EM1" s="52" t="e">
        <f>AND('Ark1'!B11,"AAAAAF92jo4=")</f>
        <v>#VALUE!</v>
      </c>
      <c r="EN1" s="52" t="e">
        <f>AND('Ark1'!C11,"AAAAAF92jo8=")</f>
        <v>#VALUE!</v>
      </c>
      <c r="EO1" s="52" t="e">
        <f>AND('Ark1'!D11,"AAAAAF92jpA=")</f>
        <v>#VALUE!</v>
      </c>
      <c r="EP1" s="52" t="e">
        <f>AND('Ark1'!E11,"AAAAAF92jpE=")</f>
        <v>#VALUE!</v>
      </c>
      <c r="EQ1" s="52" t="e">
        <f>AND('Ark1'!F11,"AAAAAF92jpI=")</f>
        <v>#VALUE!</v>
      </c>
      <c r="ER1" s="52" t="e">
        <f>AND('Ark1'!G11,"AAAAAF92jpM=")</f>
        <v>#VALUE!</v>
      </c>
      <c r="ES1" s="52" t="e">
        <f>AND('Ark1'!H11,"AAAAAF92jpQ=")</f>
        <v>#VALUE!</v>
      </c>
      <c r="ET1" s="52" t="e">
        <f>AND('Ark1'!I11,"AAAAAF92jpU=")</f>
        <v>#VALUE!</v>
      </c>
      <c r="EU1" s="52" t="e">
        <f>AND('Ark1'!J11,"AAAAAF92jpY=")</f>
        <v>#VALUE!</v>
      </c>
      <c r="EV1" s="52" t="e">
        <f>AND('Ark1'!K11,"AAAAAF92jpc=")</f>
        <v>#VALUE!</v>
      </c>
      <c r="EW1" s="52" t="e">
        <f>AND('Ark1'!L11,"AAAAAF92jpg=")</f>
        <v>#VALUE!</v>
      </c>
      <c r="EX1" s="52" t="e">
        <f>AND('Ark1'!M11,"AAAAAF92jpk=")</f>
        <v>#VALUE!</v>
      </c>
      <c r="EY1" s="52">
        <f>IF('Ark1'!12:12,"AAAAAF92jpo=",0)</f>
        <v>0</v>
      </c>
      <c r="EZ1" s="52" t="e">
        <f>AND('Ark1'!A12,"AAAAAF92jps=")</f>
        <v>#VALUE!</v>
      </c>
      <c r="FA1" s="52" t="e">
        <f>AND('Ark1'!B12,"AAAAAF92jpw=")</f>
        <v>#VALUE!</v>
      </c>
      <c r="FB1" s="52" t="e">
        <f>AND('Ark1'!C12,"AAAAAF92jp0=")</f>
        <v>#VALUE!</v>
      </c>
      <c r="FC1" s="52" t="e">
        <f>AND('Ark1'!D12,"AAAAAF92jp4=")</f>
        <v>#VALUE!</v>
      </c>
      <c r="FD1" s="52" t="e">
        <f>AND('Ark1'!E12,"AAAAAF92jp8=")</f>
        <v>#VALUE!</v>
      </c>
      <c r="FE1" s="52" t="e">
        <f>AND('Ark1'!F12,"AAAAAF92jqA=")</f>
        <v>#VALUE!</v>
      </c>
      <c r="FF1" s="52" t="e">
        <f>AND('Ark1'!G12,"AAAAAF92jqE=")</f>
        <v>#VALUE!</v>
      </c>
      <c r="FG1" s="52" t="e">
        <f>AND('Ark1'!H12,"AAAAAF92jqI=")</f>
        <v>#VALUE!</v>
      </c>
      <c r="FH1" s="52" t="e">
        <f>AND('Ark1'!I12,"AAAAAF92jqM=")</f>
        <v>#VALUE!</v>
      </c>
      <c r="FI1" s="52" t="e">
        <f>AND('Ark1'!J12,"AAAAAF92jqQ=")</f>
        <v>#VALUE!</v>
      </c>
      <c r="FJ1" s="52" t="e">
        <f>AND('Ark1'!K12,"AAAAAF92jqU=")</f>
        <v>#VALUE!</v>
      </c>
      <c r="FK1" s="52" t="e">
        <f>AND('Ark1'!L12,"AAAAAF92jqY=")</f>
        <v>#VALUE!</v>
      </c>
      <c r="FL1" s="52" t="e">
        <f>AND('Ark1'!M12,"AAAAAF92jqc=")</f>
        <v>#VALUE!</v>
      </c>
      <c r="FM1" s="52">
        <f>IF('Ark1'!13:13,"AAAAAF92jqg=",0)</f>
        <v>0</v>
      </c>
      <c r="FN1" s="52" t="e">
        <f>AND('Ark1'!A13,"AAAAAF92jqk=")</f>
        <v>#VALUE!</v>
      </c>
      <c r="FO1" s="52" t="e">
        <f>AND('Ark1'!B13,"AAAAAF92jqo=")</f>
        <v>#VALUE!</v>
      </c>
      <c r="FP1" s="52" t="e">
        <f>AND('Ark1'!C13,"AAAAAF92jqs=")</f>
        <v>#VALUE!</v>
      </c>
      <c r="FQ1" s="52" t="e">
        <f>AND('Ark1'!D13,"AAAAAF92jqw=")</f>
        <v>#VALUE!</v>
      </c>
      <c r="FR1" s="52" t="e">
        <f>AND('Ark1'!E13,"AAAAAF92jq0=")</f>
        <v>#VALUE!</v>
      </c>
      <c r="FS1" s="52" t="e">
        <f>AND('Ark1'!F13,"AAAAAF92jq4=")</f>
        <v>#VALUE!</v>
      </c>
      <c r="FT1" s="52" t="e">
        <f>AND('Ark1'!G13,"AAAAAF92jq8=")</f>
        <v>#VALUE!</v>
      </c>
      <c r="FU1" s="52" t="e">
        <f>AND('Ark1'!H13,"AAAAAF92jrA=")</f>
        <v>#VALUE!</v>
      </c>
      <c r="FV1" s="52" t="e">
        <f>AND('Ark1'!I13,"AAAAAF92jrE=")</f>
        <v>#VALUE!</v>
      </c>
      <c r="FW1" s="52" t="e">
        <f>AND('Ark1'!J13,"AAAAAF92jrI=")</f>
        <v>#VALUE!</v>
      </c>
      <c r="FX1" s="52" t="e">
        <f>AND('Ark1'!K13,"AAAAAF92jrM=")</f>
        <v>#VALUE!</v>
      </c>
      <c r="FY1" s="52" t="e">
        <f>AND('Ark1'!L13,"AAAAAF92jrQ=")</f>
        <v>#VALUE!</v>
      </c>
      <c r="FZ1" s="52" t="e">
        <f>AND('Ark1'!M13,"AAAAAF92jrU=")</f>
        <v>#VALUE!</v>
      </c>
      <c r="GA1" s="52">
        <f>IF('Ark1'!14:14,"AAAAAF92jrY=",0)</f>
        <v>0</v>
      </c>
      <c r="GB1" s="52" t="e">
        <f>AND('Ark1'!A14,"AAAAAF92jrc=")</f>
        <v>#VALUE!</v>
      </c>
      <c r="GC1" s="52" t="e">
        <f>AND('Ark1'!B14,"AAAAAF92jrg=")</f>
        <v>#VALUE!</v>
      </c>
      <c r="GD1" s="52" t="e">
        <f>AND('Ark1'!C14,"AAAAAF92jrk=")</f>
        <v>#VALUE!</v>
      </c>
      <c r="GE1" s="52" t="e">
        <f>AND('Ark1'!D14,"AAAAAF92jro=")</f>
        <v>#VALUE!</v>
      </c>
      <c r="GF1" s="52" t="e">
        <f>AND('Ark1'!E14,"AAAAAF92jrs=")</f>
        <v>#VALUE!</v>
      </c>
      <c r="GG1" s="52" t="e">
        <f>AND('Ark1'!F14,"AAAAAF92jrw=")</f>
        <v>#VALUE!</v>
      </c>
      <c r="GH1" s="52" t="e">
        <f>AND('Ark1'!G14,"AAAAAF92jr0=")</f>
        <v>#VALUE!</v>
      </c>
      <c r="GI1" s="52" t="e">
        <f>AND('Ark1'!H14,"AAAAAF92jr4=")</f>
        <v>#VALUE!</v>
      </c>
      <c r="GJ1" s="52" t="e">
        <f>AND('Ark1'!I14,"AAAAAF92jr8=")</f>
        <v>#VALUE!</v>
      </c>
      <c r="GK1" s="52" t="e">
        <f>AND('Ark1'!J14,"AAAAAF92jsA=")</f>
        <v>#VALUE!</v>
      </c>
      <c r="GL1" s="52" t="e">
        <f>AND('Ark1'!K14,"AAAAAF92jsE=")</f>
        <v>#VALUE!</v>
      </c>
      <c r="GM1" s="52" t="e">
        <f>AND('Ark1'!L14,"AAAAAF92jsI=")</f>
        <v>#VALUE!</v>
      </c>
      <c r="GN1" s="52" t="e">
        <f>AND('Ark1'!M14,"AAAAAF92jsM=")</f>
        <v>#VALUE!</v>
      </c>
      <c r="GO1" s="52">
        <f>IF('Ark1'!15:15,"AAAAAF92jsQ=",0)</f>
        <v>0</v>
      </c>
      <c r="GP1" s="52" t="e">
        <f>AND('Ark1'!A15,"AAAAAF92jsU=")</f>
        <v>#VALUE!</v>
      </c>
      <c r="GQ1" s="52" t="e">
        <f>AND('Ark1'!B15,"AAAAAF92jsY=")</f>
        <v>#VALUE!</v>
      </c>
      <c r="GR1" s="52" t="e">
        <f>AND('Ark1'!C15,"AAAAAF92jsc=")</f>
        <v>#VALUE!</v>
      </c>
      <c r="GS1" s="52" t="e">
        <f>AND('Ark1'!D15,"AAAAAF92jsg=")</f>
        <v>#VALUE!</v>
      </c>
      <c r="GT1" s="52" t="e">
        <f>AND('Ark1'!E15,"AAAAAF92jsk=")</f>
        <v>#VALUE!</v>
      </c>
      <c r="GU1" s="52" t="e">
        <f>AND('Ark1'!F15,"AAAAAF92jso=")</f>
        <v>#VALUE!</v>
      </c>
      <c r="GV1" s="52" t="e">
        <f>AND('Ark1'!G15,"AAAAAF92jss=")</f>
        <v>#VALUE!</v>
      </c>
      <c r="GW1" s="52" t="e">
        <f>AND('Ark1'!H15,"AAAAAF92jsw=")</f>
        <v>#VALUE!</v>
      </c>
      <c r="GX1" s="52" t="e">
        <f>AND('Ark1'!I15,"AAAAAF92js0=")</f>
        <v>#VALUE!</v>
      </c>
      <c r="GY1" s="52" t="e">
        <f>AND('Ark1'!J15,"AAAAAF92js4=")</f>
        <v>#VALUE!</v>
      </c>
      <c r="GZ1" s="52" t="e">
        <f>AND('Ark1'!K15,"AAAAAF92js8=")</f>
        <v>#VALUE!</v>
      </c>
      <c r="HA1" s="52" t="e">
        <f>AND('Ark1'!L15,"AAAAAF92jtA=")</f>
        <v>#VALUE!</v>
      </c>
      <c r="HB1" s="52" t="e">
        <f>AND('Ark1'!M15,"AAAAAF92jtE=")</f>
        <v>#VALUE!</v>
      </c>
      <c r="HC1" s="52">
        <f>IF('Ark1'!16:16,"AAAAAF92jtI=",0)</f>
        <v>0</v>
      </c>
      <c r="HD1" s="52" t="e">
        <f>AND('Ark1'!A16,"AAAAAF92jtM=")</f>
        <v>#VALUE!</v>
      </c>
      <c r="HE1" s="52" t="e">
        <f>AND('Ark1'!B16,"AAAAAF92jtQ=")</f>
        <v>#VALUE!</v>
      </c>
      <c r="HF1" s="52" t="e">
        <f>AND('Ark1'!C16,"AAAAAF92jtU=")</f>
        <v>#VALUE!</v>
      </c>
      <c r="HG1" s="52" t="e">
        <f>AND('Ark1'!D16,"AAAAAF92jtY=")</f>
        <v>#VALUE!</v>
      </c>
      <c r="HH1" s="52" t="e">
        <f>AND('Ark1'!E16,"AAAAAF92jtc=")</f>
        <v>#VALUE!</v>
      </c>
      <c r="HI1" s="52" t="e">
        <f>AND('Ark1'!F16,"AAAAAF92jtg=")</f>
        <v>#VALUE!</v>
      </c>
      <c r="HJ1" s="52" t="e">
        <f>AND('Ark1'!G16,"AAAAAF92jtk=")</f>
        <v>#VALUE!</v>
      </c>
      <c r="HK1" s="52" t="e">
        <f>AND('Ark1'!H16,"AAAAAF92jto=")</f>
        <v>#VALUE!</v>
      </c>
      <c r="HL1" s="52" t="e">
        <f>AND('Ark1'!I16,"AAAAAF92jts=")</f>
        <v>#VALUE!</v>
      </c>
      <c r="HM1" s="52" t="e">
        <f>AND('Ark1'!J16,"AAAAAF92jtw=")</f>
        <v>#VALUE!</v>
      </c>
      <c r="HN1" s="52" t="e">
        <f>AND('Ark1'!K16,"AAAAAF92jt0=")</f>
        <v>#VALUE!</v>
      </c>
      <c r="HO1" s="52" t="e">
        <f>AND('Ark1'!L16,"AAAAAF92jt4=")</f>
        <v>#VALUE!</v>
      </c>
      <c r="HP1" s="52" t="e">
        <f>AND('Ark1'!M16,"AAAAAF92jt8=")</f>
        <v>#VALUE!</v>
      </c>
      <c r="HQ1" s="52">
        <f>IF('Ark1'!17:17,"AAAAAF92juA=",0)</f>
        <v>0</v>
      </c>
      <c r="HR1" s="52" t="e">
        <f>AND('Ark1'!A17,"AAAAAF92juE=")</f>
        <v>#VALUE!</v>
      </c>
      <c r="HS1" s="52" t="e">
        <f>AND('Ark1'!B17,"AAAAAF92juI=")</f>
        <v>#VALUE!</v>
      </c>
      <c r="HT1" s="52" t="e">
        <f>AND('Ark1'!C17,"AAAAAF92juM=")</f>
        <v>#VALUE!</v>
      </c>
      <c r="HU1" s="52" t="e">
        <f>AND('Ark1'!D17,"AAAAAF92juQ=")</f>
        <v>#VALUE!</v>
      </c>
      <c r="HV1" s="52" t="e">
        <f>AND('Ark1'!E17,"AAAAAF92juU=")</f>
        <v>#VALUE!</v>
      </c>
      <c r="HW1" s="52" t="e">
        <f>AND('Ark1'!F17,"AAAAAF92juY=")</f>
        <v>#VALUE!</v>
      </c>
      <c r="HX1" s="52" t="e">
        <f>AND('Ark1'!G17,"AAAAAF92juc=")</f>
        <v>#VALUE!</v>
      </c>
      <c r="HY1" s="52" t="e">
        <f>AND('Ark1'!H17,"AAAAAF92jug=")</f>
        <v>#VALUE!</v>
      </c>
      <c r="HZ1" s="52" t="e">
        <f>AND('Ark1'!I17,"AAAAAF92juk=")</f>
        <v>#VALUE!</v>
      </c>
      <c r="IA1" s="52" t="e">
        <f>AND('Ark1'!J17,"AAAAAF92juo=")</f>
        <v>#VALUE!</v>
      </c>
      <c r="IB1" s="52" t="e">
        <f>AND('Ark1'!K17,"AAAAAF92jus=")</f>
        <v>#VALUE!</v>
      </c>
      <c r="IC1" s="52" t="e">
        <f>AND('Ark1'!L17,"AAAAAF92juw=")</f>
        <v>#VALUE!</v>
      </c>
      <c r="ID1" s="52" t="e">
        <f>AND('Ark1'!M17,"AAAAAF92ju0=")</f>
        <v>#VALUE!</v>
      </c>
      <c r="IE1" s="52">
        <f>IF('Ark1'!18:18,"AAAAAF92ju4=",0)</f>
        <v>0</v>
      </c>
      <c r="IF1" s="52" t="e">
        <f>AND('Ark1'!A18,"AAAAAF92ju8=")</f>
        <v>#VALUE!</v>
      </c>
      <c r="IG1" s="52" t="e">
        <f>AND('Ark1'!B18,"AAAAAF92jvA=")</f>
        <v>#VALUE!</v>
      </c>
      <c r="IH1" s="52" t="e">
        <f>AND('Ark1'!C18,"AAAAAF92jvE=")</f>
        <v>#VALUE!</v>
      </c>
      <c r="II1" s="52" t="e">
        <f>AND('Ark1'!D18,"AAAAAF92jvI=")</f>
        <v>#VALUE!</v>
      </c>
      <c r="IJ1" s="52" t="e">
        <f>AND('Ark1'!E18,"AAAAAF92jvM=")</f>
        <v>#VALUE!</v>
      </c>
      <c r="IK1" s="52" t="e">
        <f>AND('Ark1'!F18,"AAAAAF92jvQ=")</f>
        <v>#VALUE!</v>
      </c>
      <c r="IL1" s="52" t="e">
        <f>AND('Ark1'!G18,"AAAAAF92jvU=")</f>
        <v>#VALUE!</v>
      </c>
      <c r="IM1" s="52" t="e">
        <f>AND('Ark1'!H18,"AAAAAF92jvY=")</f>
        <v>#VALUE!</v>
      </c>
      <c r="IN1" s="52" t="e">
        <f>AND('Ark1'!I18,"AAAAAF92jvc=")</f>
        <v>#VALUE!</v>
      </c>
      <c r="IO1" s="52" t="e">
        <f>AND('Ark1'!J18,"AAAAAF92jvg=")</f>
        <v>#VALUE!</v>
      </c>
      <c r="IP1" s="52" t="e">
        <f>AND('Ark1'!K18,"AAAAAF92jvk=")</f>
        <v>#VALUE!</v>
      </c>
      <c r="IQ1" s="52" t="e">
        <f>AND('Ark1'!L18,"AAAAAF92jvo=")</f>
        <v>#VALUE!</v>
      </c>
      <c r="IR1" s="52" t="e">
        <f>AND('Ark1'!M18,"AAAAAF92jvs=")</f>
        <v>#VALUE!</v>
      </c>
      <c r="IS1" s="52">
        <f>IF('Ark1'!19:19,"AAAAAF92jvw=",0)</f>
        <v>0</v>
      </c>
      <c r="IT1" s="52" t="e">
        <f>AND('Ark1'!A19,"AAAAAF92jv0=")</f>
        <v>#VALUE!</v>
      </c>
      <c r="IU1" s="52" t="e">
        <f>AND('Ark1'!B19,"AAAAAF92jv4=")</f>
        <v>#VALUE!</v>
      </c>
      <c r="IV1" s="52" t="e">
        <f>AND('Ark1'!C19,"AAAAAF92jv8=")</f>
        <v>#VALUE!</v>
      </c>
    </row>
    <row r="2" spans="1:256" ht="13.5" customHeight="1" x14ac:dyDescent="0.2">
      <c r="A2" s="52" t="e">
        <f>AND('Ark1'!D19,"AAAAAFf7ZwA=")</f>
        <v>#VALUE!</v>
      </c>
      <c r="B2" s="52" t="e">
        <f>AND('Ark1'!E19,"AAAAAFf7ZwE=")</f>
        <v>#VALUE!</v>
      </c>
      <c r="C2" s="52" t="e">
        <f>AND('Ark1'!F19,"AAAAAFf7ZwI=")</f>
        <v>#VALUE!</v>
      </c>
      <c r="D2" s="52" t="e">
        <f>AND('Ark1'!G19,"AAAAAFf7ZwM=")</f>
        <v>#VALUE!</v>
      </c>
      <c r="E2" s="52" t="e">
        <f>AND('Ark1'!H19,"AAAAAFf7ZwQ=")</f>
        <v>#VALUE!</v>
      </c>
      <c r="F2" s="52" t="e">
        <f>AND('Ark1'!I19,"AAAAAFf7ZwU=")</f>
        <v>#VALUE!</v>
      </c>
      <c r="G2" s="52" t="e">
        <f>AND('Ark1'!J19,"AAAAAFf7ZwY=")</f>
        <v>#VALUE!</v>
      </c>
      <c r="H2" s="52" t="e">
        <f>AND('Ark1'!K19,"AAAAAFf7Zwc=")</f>
        <v>#VALUE!</v>
      </c>
      <c r="I2" s="52" t="e">
        <f>AND('Ark1'!L19,"AAAAAFf7Zwg=")</f>
        <v>#VALUE!</v>
      </c>
      <c r="J2" s="52" t="e">
        <f>AND('Ark1'!M19,"AAAAAFf7Zwk=")</f>
        <v>#VALUE!</v>
      </c>
      <c r="K2" s="52">
        <f>IF('Ark1'!20:20,"AAAAAFf7Zwo=",0)</f>
        <v>0</v>
      </c>
      <c r="L2" s="52" t="e">
        <f>AND('Ark1'!A20,"AAAAAFf7Zws=")</f>
        <v>#VALUE!</v>
      </c>
      <c r="M2" s="52" t="e">
        <f>AND('Ark1'!B20,"AAAAAFf7Zww=")</f>
        <v>#VALUE!</v>
      </c>
      <c r="N2" s="52" t="e">
        <f>AND('Ark1'!C20,"AAAAAFf7Zw0=")</f>
        <v>#VALUE!</v>
      </c>
      <c r="O2" s="52" t="e">
        <f>AND('Ark1'!D20,"AAAAAFf7Zw4=")</f>
        <v>#VALUE!</v>
      </c>
      <c r="P2" s="52" t="e">
        <f>AND('Ark1'!E20,"AAAAAFf7Zw8=")</f>
        <v>#VALUE!</v>
      </c>
      <c r="Q2" s="52" t="e">
        <f>AND('Ark1'!F20,"AAAAAFf7ZxA=")</f>
        <v>#VALUE!</v>
      </c>
      <c r="R2" s="52" t="e">
        <f>AND('Ark1'!G20,"AAAAAFf7ZxE=")</f>
        <v>#VALUE!</v>
      </c>
      <c r="S2" s="52" t="e">
        <f>AND('Ark1'!H20,"AAAAAFf7ZxI=")</f>
        <v>#VALUE!</v>
      </c>
      <c r="T2" s="52" t="e">
        <f>AND('Ark1'!I20,"AAAAAFf7ZxM=")</f>
        <v>#VALUE!</v>
      </c>
      <c r="U2" s="52" t="e">
        <f>AND('Ark1'!J20,"AAAAAFf7ZxQ=")</f>
        <v>#VALUE!</v>
      </c>
      <c r="V2" s="52" t="e">
        <f>AND('Ark1'!K20,"AAAAAFf7ZxU=")</f>
        <v>#VALUE!</v>
      </c>
      <c r="W2" s="52" t="e">
        <f>AND('Ark1'!L20,"AAAAAFf7ZxY=")</f>
        <v>#VALUE!</v>
      </c>
      <c r="X2" s="52" t="e">
        <f>AND('Ark1'!M20,"AAAAAFf7Zxc=")</f>
        <v>#VALUE!</v>
      </c>
      <c r="Y2" s="52">
        <f>IF('Ark1'!21:21,"AAAAAFf7Zxg=",0)</f>
        <v>0</v>
      </c>
      <c r="Z2" s="52" t="e">
        <f>AND('Ark1'!A21,"AAAAAFf7Zxk=")</f>
        <v>#VALUE!</v>
      </c>
      <c r="AA2" s="52" t="e">
        <f>AND('Ark1'!B21,"AAAAAFf7Zxo=")</f>
        <v>#VALUE!</v>
      </c>
      <c r="AB2" s="52" t="e">
        <f>AND('Ark1'!C21,"AAAAAFf7Zxs=")</f>
        <v>#VALUE!</v>
      </c>
      <c r="AC2" s="52" t="e">
        <f>AND('Ark1'!D21,"AAAAAFf7Zxw=")</f>
        <v>#VALUE!</v>
      </c>
      <c r="AD2" s="52" t="e">
        <f>AND('Ark1'!E21,"AAAAAFf7Zx0=")</f>
        <v>#VALUE!</v>
      </c>
      <c r="AE2" s="52" t="e">
        <f>AND('Ark1'!F21,"AAAAAFf7Zx4=")</f>
        <v>#VALUE!</v>
      </c>
      <c r="AF2" s="52" t="e">
        <f>AND('Ark1'!G21,"AAAAAFf7Zx8=")</f>
        <v>#VALUE!</v>
      </c>
      <c r="AG2" s="52" t="e">
        <f>AND('Ark1'!H21,"AAAAAFf7ZyA=")</f>
        <v>#VALUE!</v>
      </c>
      <c r="AH2" s="52" t="e">
        <f>AND('Ark1'!I21,"AAAAAFf7ZyE=")</f>
        <v>#VALUE!</v>
      </c>
      <c r="AI2" s="52" t="e">
        <f>AND('Ark1'!J21,"AAAAAFf7ZyI=")</f>
        <v>#VALUE!</v>
      </c>
      <c r="AJ2" s="52" t="e">
        <f>AND('Ark1'!K21,"AAAAAFf7ZyM=")</f>
        <v>#VALUE!</v>
      </c>
      <c r="AK2" s="52" t="e">
        <f>AND('Ark1'!L21,"AAAAAFf7ZyQ=")</f>
        <v>#VALUE!</v>
      </c>
      <c r="AL2" s="52" t="e">
        <f>AND('Ark1'!M21,"AAAAAFf7ZyU=")</f>
        <v>#VALUE!</v>
      </c>
      <c r="AM2" s="52">
        <f>IF('Ark1'!22:22,"AAAAAFf7ZyY=",0)</f>
        <v>0</v>
      </c>
      <c r="AN2" s="52" t="e">
        <f>AND('Ark1'!A22,"AAAAAFf7Zyc=")</f>
        <v>#VALUE!</v>
      </c>
      <c r="AO2" s="52" t="e">
        <f>AND('Ark1'!B22,"AAAAAFf7Zyg=")</f>
        <v>#VALUE!</v>
      </c>
      <c r="AP2" s="52" t="e">
        <f>AND('Ark1'!C22,"AAAAAFf7Zyk=")</f>
        <v>#VALUE!</v>
      </c>
      <c r="AQ2" s="52" t="e">
        <f>AND('Ark1'!D22,"AAAAAFf7Zyo=")</f>
        <v>#VALUE!</v>
      </c>
      <c r="AR2" s="52" t="e">
        <f>AND('Ark1'!E22,"AAAAAFf7Zys=")</f>
        <v>#VALUE!</v>
      </c>
      <c r="AS2" s="52" t="e">
        <f>AND('Ark1'!F22,"AAAAAFf7Zyw=")</f>
        <v>#VALUE!</v>
      </c>
      <c r="AT2" s="52" t="e">
        <f>AND('Ark1'!G22,"AAAAAFf7Zy0=")</f>
        <v>#VALUE!</v>
      </c>
      <c r="AU2" s="52" t="e">
        <f>AND('Ark1'!H22,"AAAAAFf7Zy4=")</f>
        <v>#VALUE!</v>
      </c>
      <c r="AV2" s="52" t="e">
        <f>AND('Ark1'!I22,"AAAAAFf7Zy8=")</f>
        <v>#VALUE!</v>
      </c>
      <c r="AW2" s="52" t="e">
        <f>AND('Ark1'!J22,"AAAAAFf7ZzA=")</f>
        <v>#VALUE!</v>
      </c>
      <c r="AX2" s="52" t="e">
        <f>AND('Ark1'!K22,"AAAAAFf7ZzE=")</f>
        <v>#VALUE!</v>
      </c>
      <c r="AY2" s="52" t="e">
        <f>AND('Ark1'!L22,"AAAAAFf7ZzI=")</f>
        <v>#VALUE!</v>
      </c>
      <c r="AZ2" s="52" t="e">
        <f>AND('Ark1'!M22,"AAAAAFf7ZzM=")</f>
        <v>#VALUE!</v>
      </c>
      <c r="BA2" s="52">
        <f>IF('Ark1'!23:23,"AAAAAFf7ZzQ=",0)</f>
        <v>0</v>
      </c>
      <c r="BB2" s="52" t="e">
        <f>AND('Ark1'!A23,"AAAAAFf7ZzU=")</f>
        <v>#VALUE!</v>
      </c>
      <c r="BC2" s="52" t="e">
        <f>AND('Ark1'!B23,"AAAAAFf7ZzY=")</f>
        <v>#VALUE!</v>
      </c>
      <c r="BD2" s="52" t="e">
        <f>AND('Ark1'!C23,"AAAAAFf7Zzc=")</f>
        <v>#VALUE!</v>
      </c>
      <c r="BE2" s="52" t="e">
        <f>AND('Ark1'!D23,"AAAAAFf7Zzg=")</f>
        <v>#VALUE!</v>
      </c>
      <c r="BF2" s="52" t="e">
        <f>AND('Ark1'!E23,"AAAAAFf7Zzk=")</f>
        <v>#VALUE!</v>
      </c>
      <c r="BG2" s="52" t="e">
        <f>AND('Ark1'!F23,"AAAAAFf7Zzo=")</f>
        <v>#VALUE!</v>
      </c>
      <c r="BH2" s="52" t="e">
        <f>AND('Ark1'!G23,"AAAAAFf7Zzs=")</f>
        <v>#VALUE!</v>
      </c>
      <c r="BI2" s="52" t="e">
        <f>AND('Ark1'!H23,"AAAAAFf7Zzw=")</f>
        <v>#VALUE!</v>
      </c>
      <c r="BJ2" s="52" t="e">
        <f>AND('Ark1'!I23,"AAAAAFf7Zz0=")</f>
        <v>#VALUE!</v>
      </c>
      <c r="BK2" s="52" t="e">
        <f>AND('Ark1'!J23,"AAAAAFf7Zz4=")</f>
        <v>#VALUE!</v>
      </c>
      <c r="BL2" s="52" t="e">
        <f>AND('Ark1'!K23,"AAAAAFf7Zz8=")</f>
        <v>#VALUE!</v>
      </c>
      <c r="BM2" s="52" t="e">
        <f>AND('Ark1'!L23,"AAAAAFf7Z0A=")</f>
        <v>#VALUE!</v>
      </c>
      <c r="BN2" s="52" t="e">
        <f>AND('Ark1'!M23,"AAAAAFf7Z0E=")</f>
        <v>#VALUE!</v>
      </c>
      <c r="BO2" s="52">
        <f>IF('Ark1'!24:24,"AAAAAFf7Z0I=",0)</f>
        <v>0</v>
      </c>
      <c r="BP2" s="52" t="e">
        <f>AND('Ark1'!A24,"AAAAAFf7Z0M=")</f>
        <v>#VALUE!</v>
      </c>
      <c r="BQ2" s="52" t="e">
        <f>AND('Ark1'!B24,"AAAAAFf7Z0Q=")</f>
        <v>#VALUE!</v>
      </c>
      <c r="BR2" s="52" t="e">
        <f>AND('Ark1'!C24,"AAAAAFf7Z0U=")</f>
        <v>#VALUE!</v>
      </c>
      <c r="BS2" s="52" t="e">
        <f>AND('Ark1'!D24,"AAAAAFf7Z0Y=")</f>
        <v>#VALUE!</v>
      </c>
      <c r="BT2" s="52" t="e">
        <f>AND('Ark1'!E24,"AAAAAFf7Z0c=")</f>
        <v>#VALUE!</v>
      </c>
      <c r="BU2" s="52" t="e">
        <f>AND('Ark1'!F24,"AAAAAFf7Z0g=")</f>
        <v>#VALUE!</v>
      </c>
      <c r="BV2" s="52" t="e">
        <f>AND('Ark1'!G24,"AAAAAFf7Z0k=")</f>
        <v>#VALUE!</v>
      </c>
      <c r="BW2" s="52" t="e">
        <f>AND('Ark1'!H24,"AAAAAFf7Z0o=")</f>
        <v>#VALUE!</v>
      </c>
      <c r="BX2" s="52" t="e">
        <f>AND('Ark1'!I24,"AAAAAFf7Z0s=")</f>
        <v>#VALUE!</v>
      </c>
      <c r="BY2" s="52" t="e">
        <f>AND('Ark1'!J24,"AAAAAFf7Z0w=")</f>
        <v>#VALUE!</v>
      </c>
      <c r="BZ2" s="52" t="e">
        <f>AND('Ark1'!K24,"AAAAAFf7Z00=")</f>
        <v>#VALUE!</v>
      </c>
      <c r="CA2" s="52" t="e">
        <f>AND('Ark1'!L24,"AAAAAFf7Z04=")</f>
        <v>#VALUE!</v>
      </c>
      <c r="CB2" s="52" t="e">
        <f>AND('Ark1'!M24,"AAAAAFf7Z08=")</f>
        <v>#VALUE!</v>
      </c>
      <c r="CC2" s="52">
        <f>IF('Ark1'!25:25,"AAAAAFf7Z1A=",0)</f>
        <v>0</v>
      </c>
      <c r="CD2" s="52" t="e">
        <f>AND('Ark1'!A25,"AAAAAFf7Z1E=")</f>
        <v>#VALUE!</v>
      </c>
      <c r="CE2" s="52" t="e">
        <f>AND('Ark1'!B25,"AAAAAFf7Z1I=")</f>
        <v>#VALUE!</v>
      </c>
      <c r="CF2" s="52" t="e">
        <f>AND('Ark1'!C25,"AAAAAFf7Z1M=")</f>
        <v>#VALUE!</v>
      </c>
      <c r="CG2" s="52" t="e">
        <f>AND('Ark1'!D25,"AAAAAFf7Z1Q=")</f>
        <v>#VALUE!</v>
      </c>
      <c r="CH2" s="52" t="e">
        <f>AND('Ark1'!E25,"AAAAAFf7Z1U=")</f>
        <v>#VALUE!</v>
      </c>
      <c r="CI2" s="52" t="e">
        <f>AND('Ark1'!F25,"AAAAAFf7Z1Y=")</f>
        <v>#VALUE!</v>
      </c>
      <c r="CJ2" s="52" t="e">
        <f>AND('Ark1'!G25,"AAAAAFf7Z1c=")</f>
        <v>#VALUE!</v>
      </c>
      <c r="CK2" s="52" t="e">
        <f>AND('Ark1'!H25,"AAAAAFf7Z1g=")</f>
        <v>#VALUE!</v>
      </c>
      <c r="CL2" s="52" t="e">
        <f>AND('Ark1'!I25,"AAAAAFf7Z1k=")</f>
        <v>#VALUE!</v>
      </c>
      <c r="CM2" s="52" t="e">
        <f>AND('Ark1'!J25,"AAAAAFf7Z1o=")</f>
        <v>#VALUE!</v>
      </c>
      <c r="CN2" s="52" t="e">
        <f>AND('Ark1'!K25,"AAAAAFf7Z1s=")</f>
        <v>#VALUE!</v>
      </c>
      <c r="CO2" s="52" t="e">
        <f>AND('Ark1'!L25,"AAAAAFf7Z1w=")</f>
        <v>#VALUE!</v>
      </c>
      <c r="CP2" s="52" t="e">
        <f>AND('Ark1'!M25,"AAAAAFf7Z10=")</f>
        <v>#VALUE!</v>
      </c>
      <c r="CQ2" s="52">
        <f>IF('Ark1'!26:26,"AAAAAFf7Z14=",0)</f>
        <v>0</v>
      </c>
      <c r="CR2" s="52" t="e">
        <f>AND('Ark1'!A26,"AAAAAFf7Z18=")</f>
        <v>#VALUE!</v>
      </c>
      <c r="CS2" s="52" t="e">
        <f>AND('Ark1'!B26,"AAAAAFf7Z2A=")</f>
        <v>#VALUE!</v>
      </c>
      <c r="CT2" s="52" t="e">
        <f>AND('Ark1'!C26,"AAAAAFf7Z2E=")</f>
        <v>#VALUE!</v>
      </c>
      <c r="CU2" s="52" t="e">
        <f>AND('Ark1'!D26,"AAAAAFf7Z2I=")</f>
        <v>#VALUE!</v>
      </c>
      <c r="CV2" s="52" t="e">
        <f>AND('Ark1'!E26,"AAAAAFf7Z2M=")</f>
        <v>#VALUE!</v>
      </c>
      <c r="CW2" s="52" t="e">
        <f>AND('Ark1'!F26,"AAAAAFf7Z2Q=")</f>
        <v>#VALUE!</v>
      </c>
      <c r="CX2" s="52" t="e">
        <f>AND('Ark1'!G26,"AAAAAFf7Z2U=")</f>
        <v>#VALUE!</v>
      </c>
      <c r="CY2" s="52" t="e">
        <f>AND('Ark1'!H26,"AAAAAFf7Z2Y=")</f>
        <v>#VALUE!</v>
      </c>
      <c r="CZ2" s="52" t="e">
        <f>AND('Ark1'!I26,"AAAAAFf7Z2c=")</f>
        <v>#VALUE!</v>
      </c>
      <c r="DA2" s="52" t="e">
        <f>AND('Ark1'!J26,"AAAAAFf7Z2g=")</f>
        <v>#VALUE!</v>
      </c>
      <c r="DB2" s="52" t="e">
        <f>AND('Ark1'!K26,"AAAAAFf7Z2k=")</f>
        <v>#VALUE!</v>
      </c>
      <c r="DC2" s="52" t="e">
        <f>AND('Ark1'!L26,"AAAAAFf7Z2o=")</f>
        <v>#VALUE!</v>
      </c>
      <c r="DD2" s="52" t="e">
        <f>AND('Ark1'!M26,"AAAAAFf7Z2s=")</f>
        <v>#VALUE!</v>
      </c>
      <c r="DE2" s="52">
        <f>IF('Ark1'!27:27,"AAAAAFf7Z2w=",0)</f>
        <v>0</v>
      </c>
      <c r="DF2" s="52" t="e">
        <f>AND('Ark1'!A27,"AAAAAFf7Z20=")</f>
        <v>#VALUE!</v>
      </c>
      <c r="DG2" s="52" t="e">
        <f>AND('Ark1'!B27,"AAAAAFf7Z24=")</f>
        <v>#VALUE!</v>
      </c>
      <c r="DH2" s="52" t="e">
        <f>AND('Ark1'!C27,"AAAAAFf7Z28=")</f>
        <v>#VALUE!</v>
      </c>
      <c r="DI2" s="52" t="e">
        <f>AND('Ark1'!D27,"AAAAAFf7Z3A=")</f>
        <v>#VALUE!</v>
      </c>
      <c r="DJ2" s="52" t="e">
        <f>AND('Ark1'!E27,"AAAAAFf7Z3E=")</f>
        <v>#VALUE!</v>
      </c>
      <c r="DK2" s="52" t="e">
        <f>AND('Ark1'!F27,"AAAAAFf7Z3I=")</f>
        <v>#VALUE!</v>
      </c>
      <c r="DL2" s="52" t="e">
        <f>AND('Ark1'!G27,"AAAAAFf7Z3M=")</f>
        <v>#VALUE!</v>
      </c>
      <c r="DM2" s="52" t="e">
        <f>AND('Ark1'!H27,"AAAAAFf7Z3Q=")</f>
        <v>#VALUE!</v>
      </c>
      <c r="DN2" s="52" t="e">
        <f>AND('Ark1'!I27,"AAAAAFf7Z3U=")</f>
        <v>#VALUE!</v>
      </c>
      <c r="DO2" s="52" t="e">
        <f>AND('Ark1'!J27,"AAAAAFf7Z3Y=")</f>
        <v>#VALUE!</v>
      </c>
      <c r="DP2" s="52" t="e">
        <f>AND('Ark1'!K27,"AAAAAFf7Z3c=")</f>
        <v>#VALUE!</v>
      </c>
      <c r="DQ2" s="52" t="e">
        <f>AND('Ark1'!L27,"AAAAAFf7Z3g=")</f>
        <v>#VALUE!</v>
      </c>
      <c r="DR2" s="52" t="e">
        <f>AND('Ark1'!M27,"AAAAAFf7Z3k=")</f>
        <v>#VALUE!</v>
      </c>
      <c r="DS2" s="52">
        <f>IF('Ark1'!28:28,"AAAAAFf7Z3o=",0)</f>
        <v>0</v>
      </c>
      <c r="DT2" s="52" t="e">
        <f>AND('Ark1'!A28,"AAAAAFf7Z3s=")</f>
        <v>#VALUE!</v>
      </c>
      <c r="DU2" s="52" t="e">
        <f>AND('Ark1'!B28,"AAAAAFf7Z3w=")</f>
        <v>#VALUE!</v>
      </c>
      <c r="DV2" s="52" t="e">
        <f>AND('Ark1'!C28,"AAAAAFf7Z30=")</f>
        <v>#VALUE!</v>
      </c>
      <c r="DW2" s="52" t="e">
        <f>AND('Ark1'!D28,"AAAAAFf7Z34=")</f>
        <v>#VALUE!</v>
      </c>
      <c r="DX2" s="52" t="e">
        <f>AND('Ark1'!E28,"AAAAAFf7Z38=")</f>
        <v>#VALUE!</v>
      </c>
      <c r="DY2" s="52" t="e">
        <f>AND('Ark1'!F28,"AAAAAFf7Z4A=")</f>
        <v>#VALUE!</v>
      </c>
      <c r="DZ2" s="52" t="e">
        <f>AND('Ark1'!G28,"AAAAAFf7Z4E=")</f>
        <v>#VALUE!</v>
      </c>
      <c r="EA2" s="52" t="e">
        <f>AND('Ark1'!H28,"AAAAAFf7Z4I=")</f>
        <v>#VALUE!</v>
      </c>
      <c r="EB2" s="52" t="e">
        <f>AND('Ark1'!I28,"AAAAAFf7Z4M=")</f>
        <v>#VALUE!</v>
      </c>
      <c r="EC2" s="52" t="e">
        <f>AND('Ark1'!J28,"AAAAAFf7Z4Q=")</f>
        <v>#VALUE!</v>
      </c>
      <c r="ED2" s="52" t="e">
        <f>AND('Ark1'!K28,"AAAAAFf7Z4U=")</f>
        <v>#VALUE!</v>
      </c>
      <c r="EE2" s="52" t="e">
        <f>AND('Ark1'!L28,"AAAAAFf7Z4Y=")</f>
        <v>#VALUE!</v>
      </c>
      <c r="EF2" s="52" t="e">
        <f>AND('Ark1'!M28,"AAAAAFf7Z4c=")</f>
        <v>#VALUE!</v>
      </c>
      <c r="EG2" s="52">
        <f>IF('Ark1'!29:29,"AAAAAFf7Z4g=",0)</f>
        <v>0</v>
      </c>
      <c r="EH2" s="52" t="e">
        <f>AND('Ark1'!A29,"AAAAAFf7Z4k=")</f>
        <v>#VALUE!</v>
      </c>
      <c r="EI2" s="52" t="e">
        <f>AND('Ark1'!B29,"AAAAAFf7Z4o=")</f>
        <v>#VALUE!</v>
      </c>
      <c r="EJ2" s="52" t="e">
        <f>AND('Ark1'!C29,"AAAAAFf7Z4s=")</f>
        <v>#VALUE!</v>
      </c>
      <c r="EK2" s="52" t="e">
        <f>AND('Ark1'!D29,"AAAAAFf7Z4w=")</f>
        <v>#VALUE!</v>
      </c>
      <c r="EL2" s="52" t="e">
        <f>AND('Ark1'!E29,"AAAAAFf7Z40=")</f>
        <v>#VALUE!</v>
      </c>
      <c r="EM2" s="52" t="e">
        <f>AND('Ark1'!F29,"AAAAAFf7Z44=")</f>
        <v>#VALUE!</v>
      </c>
      <c r="EN2" s="52" t="e">
        <f>AND('Ark1'!G29,"AAAAAFf7Z48=")</f>
        <v>#VALUE!</v>
      </c>
      <c r="EO2" s="52" t="e">
        <f>AND('Ark1'!H29,"AAAAAFf7Z5A=")</f>
        <v>#VALUE!</v>
      </c>
      <c r="EP2" s="52" t="e">
        <f>AND('Ark1'!I29,"AAAAAFf7Z5E=")</f>
        <v>#VALUE!</v>
      </c>
      <c r="EQ2" s="52" t="e">
        <f>AND('Ark1'!J29,"AAAAAFf7Z5I=")</f>
        <v>#VALUE!</v>
      </c>
      <c r="ER2" s="52" t="e">
        <f>AND('Ark1'!K29,"AAAAAFf7Z5M=")</f>
        <v>#VALUE!</v>
      </c>
      <c r="ES2" s="52" t="e">
        <f>AND('Ark1'!L29,"AAAAAFf7Z5Q=")</f>
        <v>#VALUE!</v>
      </c>
      <c r="ET2" s="52" t="e">
        <f>AND('Ark1'!M29,"AAAAAFf7Z5U=")</f>
        <v>#VALUE!</v>
      </c>
      <c r="EU2" s="52">
        <f>IF('Ark1'!30:30,"AAAAAFf7Z5Y=",0)</f>
        <v>0</v>
      </c>
      <c r="EV2" s="52" t="e">
        <f>AND('Ark1'!A30,"AAAAAFf7Z5c=")</f>
        <v>#VALUE!</v>
      </c>
      <c r="EW2" s="52" t="e">
        <f>AND('Ark1'!B30,"AAAAAFf7Z5g=")</f>
        <v>#VALUE!</v>
      </c>
      <c r="EX2" s="52" t="e">
        <f>AND('Ark1'!C30,"AAAAAFf7Z5k=")</f>
        <v>#VALUE!</v>
      </c>
      <c r="EY2" s="52" t="e">
        <f>AND('Ark1'!D30,"AAAAAFf7Z5o=")</f>
        <v>#VALUE!</v>
      </c>
      <c r="EZ2" s="52" t="e">
        <f>AND('Ark1'!E30,"AAAAAFf7Z5s=")</f>
        <v>#VALUE!</v>
      </c>
      <c r="FA2" s="52" t="e">
        <f>AND('Ark1'!F30,"AAAAAFf7Z5w=")</f>
        <v>#VALUE!</v>
      </c>
      <c r="FB2" s="52" t="e">
        <f>AND('Ark1'!G30,"AAAAAFf7Z50=")</f>
        <v>#VALUE!</v>
      </c>
      <c r="FC2" s="52" t="e">
        <f>AND('Ark1'!H30,"AAAAAFf7Z54=")</f>
        <v>#VALUE!</v>
      </c>
      <c r="FD2" s="52" t="e">
        <f>AND('Ark1'!I30,"AAAAAFf7Z58=")</f>
        <v>#VALUE!</v>
      </c>
      <c r="FE2" s="52" t="e">
        <f>AND('Ark1'!J30,"AAAAAFf7Z6A=")</f>
        <v>#VALUE!</v>
      </c>
      <c r="FF2" s="52" t="e">
        <f>AND('Ark1'!K30,"AAAAAFf7Z6E=")</f>
        <v>#VALUE!</v>
      </c>
      <c r="FG2" s="52" t="e">
        <f>AND('Ark1'!L30,"AAAAAFf7Z6I=")</f>
        <v>#VALUE!</v>
      </c>
      <c r="FH2" s="52" t="e">
        <f>AND('Ark1'!M30,"AAAAAFf7Z6M=")</f>
        <v>#VALUE!</v>
      </c>
      <c r="FI2" s="52">
        <f>IF('Ark1'!31:31,"AAAAAFf7Z6Q=",0)</f>
        <v>0</v>
      </c>
      <c r="FJ2" s="52" t="e">
        <f>AND('Ark1'!A31,"AAAAAFf7Z6U=")</f>
        <v>#VALUE!</v>
      </c>
      <c r="FK2" s="52" t="e">
        <f>AND('Ark1'!B31,"AAAAAFf7Z6Y=")</f>
        <v>#VALUE!</v>
      </c>
      <c r="FL2" s="52" t="e">
        <f>AND('Ark1'!C31,"AAAAAFf7Z6c=")</f>
        <v>#VALUE!</v>
      </c>
      <c r="FM2" s="52" t="e">
        <f>AND('Ark1'!D31,"AAAAAFf7Z6g=")</f>
        <v>#VALUE!</v>
      </c>
      <c r="FN2" s="52" t="e">
        <f>AND('Ark1'!E31,"AAAAAFf7Z6k=")</f>
        <v>#VALUE!</v>
      </c>
      <c r="FO2" s="52" t="e">
        <f>AND('Ark1'!F31,"AAAAAFf7Z6o=")</f>
        <v>#VALUE!</v>
      </c>
      <c r="FP2" s="52" t="e">
        <f>AND('Ark1'!G31,"AAAAAFf7Z6s=")</f>
        <v>#VALUE!</v>
      </c>
      <c r="FQ2" s="52" t="e">
        <f>AND('Ark1'!H31,"AAAAAFf7Z6w=")</f>
        <v>#VALUE!</v>
      </c>
      <c r="FR2" s="52" t="e">
        <f>AND('Ark1'!I31,"AAAAAFf7Z60=")</f>
        <v>#VALUE!</v>
      </c>
      <c r="FS2" s="52" t="e">
        <f>AND('Ark1'!J31,"AAAAAFf7Z64=")</f>
        <v>#VALUE!</v>
      </c>
      <c r="FT2" s="52" t="e">
        <f>AND('Ark1'!K31,"AAAAAFf7Z68=")</f>
        <v>#VALUE!</v>
      </c>
      <c r="FU2" s="52" t="e">
        <f>AND('Ark1'!L31,"AAAAAFf7Z7A=")</f>
        <v>#VALUE!</v>
      </c>
      <c r="FV2" s="52" t="e">
        <f>AND('Ark1'!M31,"AAAAAFf7Z7E=")</f>
        <v>#VALUE!</v>
      </c>
      <c r="FW2" s="52">
        <f>IF('Ark1'!32:32,"AAAAAFf7Z7I=",0)</f>
        <v>0</v>
      </c>
      <c r="FX2" s="52" t="e">
        <f>AND('Ark1'!A32,"AAAAAFf7Z7M=")</f>
        <v>#VALUE!</v>
      </c>
      <c r="FY2" s="52" t="e">
        <f>AND('Ark1'!B32,"AAAAAFf7Z7Q=")</f>
        <v>#VALUE!</v>
      </c>
      <c r="FZ2" s="52" t="e">
        <f>AND('Ark1'!C32,"AAAAAFf7Z7U=")</f>
        <v>#VALUE!</v>
      </c>
      <c r="GA2" s="52" t="e">
        <f>AND('Ark1'!D32,"AAAAAFf7Z7Y=")</f>
        <v>#VALUE!</v>
      </c>
      <c r="GB2" s="52" t="e">
        <f>AND('Ark1'!E32,"AAAAAFf7Z7c=")</f>
        <v>#VALUE!</v>
      </c>
      <c r="GC2" s="52" t="e">
        <f>AND('Ark1'!F32,"AAAAAFf7Z7g=")</f>
        <v>#VALUE!</v>
      </c>
      <c r="GD2" s="52" t="e">
        <f>AND('Ark1'!G32,"AAAAAFf7Z7k=")</f>
        <v>#VALUE!</v>
      </c>
      <c r="GE2" s="52" t="e">
        <f>AND('Ark1'!H32,"AAAAAFf7Z7o=")</f>
        <v>#VALUE!</v>
      </c>
      <c r="GF2" s="52" t="e">
        <f>AND('Ark1'!I32,"AAAAAFf7Z7s=")</f>
        <v>#VALUE!</v>
      </c>
      <c r="GG2" s="52" t="e">
        <f>AND('Ark1'!J32,"AAAAAFf7Z7w=")</f>
        <v>#VALUE!</v>
      </c>
      <c r="GH2" s="52" t="e">
        <f>AND('Ark1'!K32,"AAAAAFf7Z70=")</f>
        <v>#VALUE!</v>
      </c>
      <c r="GI2" s="52" t="e">
        <f>AND('Ark1'!L32,"AAAAAFf7Z74=")</f>
        <v>#VALUE!</v>
      </c>
      <c r="GJ2" s="52" t="e">
        <f>AND('Ark1'!M32,"AAAAAFf7Z78=")</f>
        <v>#VALUE!</v>
      </c>
      <c r="GK2" s="52">
        <f>IF('Ark1'!33:33,"AAAAAFf7Z8A=",0)</f>
        <v>0</v>
      </c>
      <c r="GL2" s="52" t="e">
        <f>AND('Ark1'!A33,"AAAAAFf7Z8E=")</f>
        <v>#VALUE!</v>
      </c>
      <c r="GM2" s="52" t="e">
        <f>AND('Ark1'!B33,"AAAAAFf7Z8I=")</f>
        <v>#VALUE!</v>
      </c>
      <c r="GN2" s="52" t="e">
        <f>AND('Ark1'!C33,"AAAAAFf7Z8M=")</f>
        <v>#VALUE!</v>
      </c>
      <c r="GO2" s="52" t="e">
        <f>AND('Ark1'!D33,"AAAAAFf7Z8Q=")</f>
        <v>#VALUE!</v>
      </c>
      <c r="GP2" s="52" t="e">
        <f>AND('Ark1'!E33,"AAAAAFf7Z8U=")</f>
        <v>#VALUE!</v>
      </c>
      <c r="GQ2" s="52" t="e">
        <f>AND('Ark1'!F33,"AAAAAFf7Z8Y=")</f>
        <v>#VALUE!</v>
      </c>
      <c r="GR2" s="52" t="e">
        <f>AND('Ark1'!G33,"AAAAAFf7Z8c=")</f>
        <v>#VALUE!</v>
      </c>
      <c r="GS2" s="52" t="e">
        <f>AND('Ark1'!H33,"AAAAAFf7Z8g=")</f>
        <v>#VALUE!</v>
      </c>
      <c r="GT2" s="52" t="e">
        <f>AND('Ark1'!I33,"AAAAAFf7Z8k=")</f>
        <v>#VALUE!</v>
      </c>
      <c r="GU2" s="52" t="e">
        <f>AND('Ark1'!J33,"AAAAAFf7Z8o=")</f>
        <v>#VALUE!</v>
      </c>
      <c r="GV2" s="52" t="e">
        <f>AND('Ark1'!K33,"AAAAAFf7Z8s=")</f>
        <v>#VALUE!</v>
      </c>
      <c r="GW2" s="52" t="e">
        <f>AND('Ark1'!L33,"AAAAAFf7Z8w=")</f>
        <v>#VALUE!</v>
      </c>
      <c r="GX2" s="52" t="e">
        <f>AND('Ark1'!M33,"AAAAAFf7Z80=")</f>
        <v>#VALUE!</v>
      </c>
      <c r="GY2" s="52">
        <f>IF('Ark1'!34:34,"AAAAAFf7Z84=",0)</f>
        <v>0</v>
      </c>
      <c r="GZ2" s="52" t="e">
        <f>AND('Ark1'!A34,"AAAAAFf7Z88=")</f>
        <v>#VALUE!</v>
      </c>
      <c r="HA2" s="52" t="e">
        <f>AND('Ark1'!B34,"AAAAAFf7Z9A=")</f>
        <v>#VALUE!</v>
      </c>
      <c r="HB2" s="52" t="e">
        <f>AND('Ark1'!C34,"AAAAAFf7Z9E=")</f>
        <v>#VALUE!</v>
      </c>
      <c r="HC2" s="52" t="e">
        <f>AND('Ark1'!D34,"AAAAAFf7Z9I=")</f>
        <v>#VALUE!</v>
      </c>
      <c r="HD2" s="52" t="e">
        <f>AND('Ark1'!E34,"AAAAAFf7Z9M=")</f>
        <v>#VALUE!</v>
      </c>
      <c r="HE2" s="52" t="e">
        <f>AND('Ark1'!F34,"AAAAAFf7Z9Q=")</f>
        <v>#VALUE!</v>
      </c>
      <c r="HF2" s="52" t="e">
        <f>AND('Ark1'!G34,"AAAAAFf7Z9U=")</f>
        <v>#VALUE!</v>
      </c>
      <c r="HG2" s="52" t="e">
        <f>AND('Ark1'!H34,"AAAAAFf7Z9Y=")</f>
        <v>#VALUE!</v>
      </c>
      <c r="HH2" s="52" t="e">
        <f>AND('Ark1'!I34,"AAAAAFf7Z9c=")</f>
        <v>#VALUE!</v>
      </c>
      <c r="HI2" s="52" t="e">
        <f>AND('Ark1'!J34,"AAAAAFf7Z9g=")</f>
        <v>#VALUE!</v>
      </c>
      <c r="HJ2" s="52" t="e">
        <f>AND('Ark1'!K34,"AAAAAFf7Z9k=")</f>
        <v>#VALUE!</v>
      </c>
      <c r="HK2" s="52" t="e">
        <f>AND('Ark1'!L34,"AAAAAFf7Z9o=")</f>
        <v>#VALUE!</v>
      </c>
      <c r="HL2" s="52" t="e">
        <f>AND('Ark1'!M34,"AAAAAFf7Z9s=")</f>
        <v>#VALUE!</v>
      </c>
      <c r="HM2" s="52">
        <f>IF('Ark1'!35:35,"AAAAAFf7Z9w=",0)</f>
        <v>0</v>
      </c>
      <c r="HN2" s="52" t="e">
        <f>AND('Ark1'!A35,"AAAAAFf7Z90=")</f>
        <v>#VALUE!</v>
      </c>
      <c r="HO2" s="52" t="e">
        <f>AND('Ark1'!B35,"AAAAAFf7Z94=")</f>
        <v>#VALUE!</v>
      </c>
      <c r="HP2" s="52" t="e">
        <f>AND('Ark1'!C35,"AAAAAFf7Z98=")</f>
        <v>#VALUE!</v>
      </c>
      <c r="HQ2" s="52" t="e">
        <f>AND('Ark1'!D35,"AAAAAFf7Z+A=")</f>
        <v>#VALUE!</v>
      </c>
      <c r="HR2" s="52" t="e">
        <f>AND('Ark1'!E35,"AAAAAFf7Z+E=")</f>
        <v>#VALUE!</v>
      </c>
      <c r="HS2" s="52" t="e">
        <f>AND('Ark1'!F35,"AAAAAFf7Z+I=")</f>
        <v>#VALUE!</v>
      </c>
      <c r="HT2" s="52" t="e">
        <f>AND('Ark1'!G35,"AAAAAFf7Z+M=")</f>
        <v>#VALUE!</v>
      </c>
      <c r="HU2" s="52" t="e">
        <f>AND('Ark1'!H35,"AAAAAFf7Z+Q=")</f>
        <v>#VALUE!</v>
      </c>
      <c r="HV2" s="52" t="e">
        <f>AND('Ark1'!I35,"AAAAAFf7Z+U=")</f>
        <v>#VALUE!</v>
      </c>
      <c r="HW2" s="52" t="e">
        <f>AND('Ark1'!J35,"AAAAAFf7Z+Y=")</f>
        <v>#VALUE!</v>
      </c>
      <c r="HX2" s="52" t="e">
        <f>AND('Ark1'!K35,"AAAAAFf7Z+c=")</f>
        <v>#VALUE!</v>
      </c>
      <c r="HY2" s="52" t="e">
        <f>AND('Ark1'!L35,"AAAAAFf7Z+g=")</f>
        <v>#VALUE!</v>
      </c>
      <c r="HZ2" s="52" t="e">
        <f>AND('Ark1'!M35,"AAAAAFf7Z+k=")</f>
        <v>#VALUE!</v>
      </c>
      <c r="IA2" s="52">
        <f>IF('Ark1'!36:36,"AAAAAFf7Z+o=",0)</f>
        <v>0</v>
      </c>
      <c r="IB2" s="52" t="e">
        <f>AND('Ark1'!A36,"AAAAAFf7Z+s=")</f>
        <v>#VALUE!</v>
      </c>
      <c r="IC2" s="52" t="e">
        <f>AND('Ark1'!B36,"AAAAAFf7Z+w=")</f>
        <v>#VALUE!</v>
      </c>
      <c r="ID2" s="52" t="e">
        <f>AND('Ark1'!C36,"AAAAAFf7Z+0=")</f>
        <v>#VALUE!</v>
      </c>
      <c r="IE2" s="52" t="e">
        <f>AND('Ark1'!D36,"AAAAAFf7Z+4=")</f>
        <v>#VALUE!</v>
      </c>
      <c r="IF2" s="52" t="e">
        <f>AND('Ark1'!E36,"AAAAAFf7Z+8=")</f>
        <v>#VALUE!</v>
      </c>
      <c r="IG2" s="52" t="e">
        <f>AND('Ark1'!F36,"AAAAAFf7Z/A=")</f>
        <v>#VALUE!</v>
      </c>
      <c r="IH2" s="52" t="e">
        <f>AND('Ark1'!G36,"AAAAAFf7Z/E=")</f>
        <v>#VALUE!</v>
      </c>
      <c r="II2" s="52" t="e">
        <f>AND('Ark1'!H36,"AAAAAFf7Z/I=")</f>
        <v>#VALUE!</v>
      </c>
      <c r="IJ2" s="52" t="e">
        <f>AND('Ark1'!I36,"AAAAAFf7Z/M=")</f>
        <v>#VALUE!</v>
      </c>
      <c r="IK2" s="52" t="e">
        <f>AND('Ark1'!J36,"AAAAAFf7Z/Q=")</f>
        <v>#VALUE!</v>
      </c>
      <c r="IL2" s="52" t="e">
        <f>AND('Ark1'!K36,"AAAAAFf7Z/U=")</f>
        <v>#VALUE!</v>
      </c>
      <c r="IM2" s="52" t="e">
        <f>AND('Ark1'!L36,"AAAAAFf7Z/Y=")</f>
        <v>#VALUE!</v>
      </c>
      <c r="IN2" s="52" t="e">
        <f>AND('Ark1'!M36,"AAAAAFf7Z/c=")</f>
        <v>#VALUE!</v>
      </c>
      <c r="IO2" s="52">
        <f>IF('Ark1'!37:37,"AAAAAFf7Z/g=",0)</f>
        <v>0</v>
      </c>
      <c r="IP2" s="52" t="e">
        <f>AND('Ark1'!A37,"AAAAAFf7Z/k=")</f>
        <v>#VALUE!</v>
      </c>
      <c r="IQ2" s="52" t="e">
        <f>AND('Ark1'!B37,"AAAAAFf7Z/o=")</f>
        <v>#VALUE!</v>
      </c>
      <c r="IR2" s="52" t="e">
        <f>AND('Ark1'!C37,"AAAAAFf7Z/s=")</f>
        <v>#VALUE!</v>
      </c>
      <c r="IS2" s="52" t="e">
        <f>AND('Ark1'!D37,"AAAAAFf7Z/w=")</f>
        <v>#VALUE!</v>
      </c>
      <c r="IT2" s="52" t="e">
        <f>AND('Ark1'!E37,"AAAAAFf7Z/0=")</f>
        <v>#VALUE!</v>
      </c>
      <c r="IU2" s="52" t="e">
        <f>AND('Ark1'!F37,"AAAAAFf7Z/4=")</f>
        <v>#VALUE!</v>
      </c>
      <c r="IV2" s="52" t="e">
        <f>AND('Ark1'!G37,"AAAAAFf7Z/8=")</f>
        <v>#VALUE!</v>
      </c>
    </row>
    <row r="3" spans="1:256" ht="13.5" customHeight="1" x14ac:dyDescent="0.2">
      <c r="A3" s="52" t="e">
        <f>AND('Ark1'!H37,"AAAAAHun/gA=")</f>
        <v>#VALUE!</v>
      </c>
      <c r="B3" s="52" t="e">
        <f>AND('Ark1'!I37,"AAAAAHun/gE=")</f>
        <v>#VALUE!</v>
      </c>
      <c r="C3" s="52" t="e">
        <f>AND('Ark1'!J37,"AAAAAHun/gI=")</f>
        <v>#VALUE!</v>
      </c>
      <c r="D3" s="52" t="e">
        <f>AND('Ark1'!K37,"AAAAAHun/gM=")</f>
        <v>#VALUE!</v>
      </c>
      <c r="E3" s="52" t="e">
        <f>AND('Ark1'!L37,"AAAAAHun/gQ=")</f>
        <v>#VALUE!</v>
      </c>
      <c r="F3" s="52" t="e">
        <f>AND('Ark1'!M37,"AAAAAHun/gU=")</f>
        <v>#VALUE!</v>
      </c>
      <c r="G3" s="52">
        <f>IF('Ark1'!38:38,"AAAAAHun/gY=",0)</f>
        <v>0</v>
      </c>
      <c r="H3" s="52" t="e">
        <f>AND('Ark1'!A38,"AAAAAHun/gc=")</f>
        <v>#VALUE!</v>
      </c>
      <c r="I3" s="52" t="e">
        <f>AND('Ark1'!B38,"AAAAAHun/gg=")</f>
        <v>#VALUE!</v>
      </c>
      <c r="J3" s="52" t="e">
        <f>AND('Ark1'!C38,"AAAAAHun/gk=")</f>
        <v>#VALUE!</v>
      </c>
      <c r="K3" s="52" t="e">
        <f>AND('Ark1'!D38,"AAAAAHun/go=")</f>
        <v>#VALUE!</v>
      </c>
      <c r="L3" s="52" t="e">
        <f>AND('Ark1'!E38,"AAAAAHun/gs=")</f>
        <v>#VALUE!</v>
      </c>
      <c r="M3" s="52" t="e">
        <f>AND('Ark1'!F38,"AAAAAHun/gw=")</f>
        <v>#VALUE!</v>
      </c>
      <c r="N3" s="52" t="e">
        <f>AND('Ark1'!G38,"AAAAAHun/g0=")</f>
        <v>#VALUE!</v>
      </c>
      <c r="O3" s="52" t="e">
        <f>AND('Ark1'!H38,"AAAAAHun/g4=")</f>
        <v>#VALUE!</v>
      </c>
      <c r="P3" s="52" t="e">
        <f>AND('Ark1'!I38,"AAAAAHun/g8=")</f>
        <v>#VALUE!</v>
      </c>
      <c r="Q3" s="52" t="e">
        <f>AND('Ark1'!J38,"AAAAAHun/hA=")</f>
        <v>#VALUE!</v>
      </c>
      <c r="R3" s="52" t="e">
        <f>AND('Ark1'!K38,"AAAAAHun/hE=")</f>
        <v>#VALUE!</v>
      </c>
      <c r="S3" s="52" t="e">
        <f>AND('Ark1'!L38,"AAAAAHun/hI=")</f>
        <v>#VALUE!</v>
      </c>
      <c r="T3" s="52" t="e">
        <f>AND('Ark1'!M38,"AAAAAHun/hM=")</f>
        <v>#VALUE!</v>
      </c>
      <c r="U3" s="52">
        <f>IF('Ark1'!39:39,"AAAAAHun/hQ=",0)</f>
        <v>0</v>
      </c>
      <c r="V3" s="52" t="e">
        <f>AND('Ark1'!A39,"AAAAAHun/hU=")</f>
        <v>#VALUE!</v>
      </c>
      <c r="W3" s="52" t="e">
        <f>AND('Ark1'!B39,"AAAAAHun/hY=")</f>
        <v>#VALUE!</v>
      </c>
      <c r="X3" s="52" t="e">
        <f>AND('Ark1'!C39,"AAAAAHun/hc=")</f>
        <v>#VALUE!</v>
      </c>
      <c r="Y3" s="52" t="e">
        <f>AND('Ark1'!D39,"AAAAAHun/hg=")</f>
        <v>#VALUE!</v>
      </c>
      <c r="Z3" s="52" t="e">
        <f>AND('Ark1'!E39,"AAAAAHun/hk=")</f>
        <v>#VALUE!</v>
      </c>
      <c r="AA3" s="52" t="e">
        <f>AND('Ark1'!F39,"AAAAAHun/ho=")</f>
        <v>#VALUE!</v>
      </c>
      <c r="AB3" s="52" t="e">
        <f>AND('Ark1'!G39,"AAAAAHun/hs=")</f>
        <v>#VALUE!</v>
      </c>
      <c r="AC3" s="52" t="e">
        <f>AND('Ark1'!H39,"AAAAAHun/hw=")</f>
        <v>#VALUE!</v>
      </c>
      <c r="AD3" s="52" t="e">
        <f>AND('Ark1'!I39,"AAAAAHun/h0=")</f>
        <v>#VALUE!</v>
      </c>
      <c r="AE3" s="52" t="e">
        <f>AND('Ark1'!J39,"AAAAAHun/h4=")</f>
        <v>#VALUE!</v>
      </c>
      <c r="AF3" s="52" t="e">
        <f>AND('Ark1'!K39,"AAAAAHun/h8=")</f>
        <v>#VALUE!</v>
      </c>
      <c r="AG3" s="52" t="e">
        <f>AND('Ark1'!L39,"AAAAAHun/iA=")</f>
        <v>#VALUE!</v>
      </c>
      <c r="AH3" s="52" t="e">
        <f>AND('Ark1'!M39,"AAAAAHun/iE=")</f>
        <v>#VALUE!</v>
      </c>
      <c r="AI3" s="52">
        <f>IF('Ark1'!40:40,"AAAAAHun/iI=",0)</f>
        <v>0</v>
      </c>
      <c r="AJ3" s="52" t="e">
        <f>AND('Ark1'!A40,"AAAAAHun/iM=")</f>
        <v>#VALUE!</v>
      </c>
      <c r="AK3" s="52" t="e">
        <f>AND('Ark1'!B40,"AAAAAHun/iQ=")</f>
        <v>#VALUE!</v>
      </c>
      <c r="AL3" s="52" t="e">
        <f>AND('Ark1'!C40,"AAAAAHun/iU=")</f>
        <v>#VALUE!</v>
      </c>
      <c r="AM3" s="52" t="e">
        <f>AND('Ark1'!D40,"AAAAAHun/iY=")</f>
        <v>#VALUE!</v>
      </c>
      <c r="AN3" s="52" t="e">
        <f>AND('Ark1'!E40,"AAAAAHun/ic=")</f>
        <v>#VALUE!</v>
      </c>
      <c r="AO3" s="52" t="e">
        <f>AND('Ark1'!F40,"AAAAAHun/ig=")</f>
        <v>#VALUE!</v>
      </c>
      <c r="AP3" s="52" t="e">
        <f>AND('Ark1'!G40,"AAAAAHun/ik=")</f>
        <v>#VALUE!</v>
      </c>
      <c r="AQ3" s="52" t="e">
        <f>AND('Ark1'!H40,"AAAAAHun/io=")</f>
        <v>#VALUE!</v>
      </c>
      <c r="AR3" s="52" t="e">
        <f>AND('Ark1'!I40,"AAAAAHun/is=")</f>
        <v>#VALUE!</v>
      </c>
      <c r="AS3" s="52" t="e">
        <f>AND('Ark1'!J40,"AAAAAHun/iw=")</f>
        <v>#VALUE!</v>
      </c>
      <c r="AT3" s="52" t="e">
        <f>AND('Ark1'!K40,"AAAAAHun/i0=")</f>
        <v>#VALUE!</v>
      </c>
      <c r="AU3" s="52" t="e">
        <f>AND('Ark1'!L40,"AAAAAHun/i4=")</f>
        <v>#VALUE!</v>
      </c>
      <c r="AV3" s="52" t="e">
        <f>AND('Ark1'!M40,"AAAAAHun/i8=")</f>
        <v>#VALUE!</v>
      </c>
      <c r="AW3" s="52">
        <f>IF('Ark1'!41:41,"AAAAAHun/jA=",0)</f>
        <v>0</v>
      </c>
      <c r="AX3" s="52" t="e">
        <f>AND('Ark1'!A41,"AAAAAHun/jE=")</f>
        <v>#VALUE!</v>
      </c>
      <c r="AY3" s="52" t="e">
        <f>AND('Ark1'!B41,"AAAAAHun/jI=")</f>
        <v>#VALUE!</v>
      </c>
      <c r="AZ3" s="52" t="e">
        <f>AND('Ark1'!C41,"AAAAAHun/jM=")</f>
        <v>#VALUE!</v>
      </c>
      <c r="BA3" s="52" t="e">
        <f>AND('Ark1'!D41,"AAAAAHun/jQ=")</f>
        <v>#VALUE!</v>
      </c>
      <c r="BB3" s="52" t="e">
        <f>AND('Ark1'!E41,"AAAAAHun/jU=")</f>
        <v>#VALUE!</v>
      </c>
      <c r="BC3" s="52" t="e">
        <f>AND('Ark1'!F41,"AAAAAHun/jY=")</f>
        <v>#VALUE!</v>
      </c>
      <c r="BD3" s="52" t="e">
        <f>AND('Ark1'!G41,"AAAAAHun/jc=")</f>
        <v>#VALUE!</v>
      </c>
      <c r="BE3" s="52" t="e">
        <f>AND('Ark1'!H41,"AAAAAHun/jg=")</f>
        <v>#VALUE!</v>
      </c>
      <c r="BF3" s="52" t="e">
        <f>AND('Ark1'!I41,"AAAAAHun/jk=")</f>
        <v>#VALUE!</v>
      </c>
      <c r="BG3" s="52" t="e">
        <f>AND('Ark1'!J41,"AAAAAHun/jo=")</f>
        <v>#VALUE!</v>
      </c>
      <c r="BH3" s="52" t="e">
        <f>AND('Ark1'!K41,"AAAAAHun/js=")</f>
        <v>#VALUE!</v>
      </c>
      <c r="BI3" s="52" t="e">
        <f>AND('Ark1'!L41,"AAAAAHun/jw=")</f>
        <v>#VALUE!</v>
      </c>
      <c r="BJ3" s="52" t="e">
        <f>AND('Ark1'!M41,"AAAAAHun/j0=")</f>
        <v>#VALUE!</v>
      </c>
      <c r="BK3" s="52">
        <f>IF('Ark1'!42:42,"AAAAAHun/j4=",0)</f>
        <v>0</v>
      </c>
      <c r="BL3" s="52" t="e">
        <f>AND('Ark1'!A42,"AAAAAHun/j8=")</f>
        <v>#VALUE!</v>
      </c>
      <c r="BM3" s="52" t="e">
        <f>AND('Ark1'!B42,"AAAAAHun/kA=")</f>
        <v>#VALUE!</v>
      </c>
      <c r="BN3" s="52" t="e">
        <f>AND('Ark1'!C42,"AAAAAHun/kE=")</f>
        <v>#VALUE!</v>
      </c>
      <c r="BO3" s="52" t="e">
        <f>AND('Ark1'!D42,"AAAAAHun/kI=")</f>
        <v>#VALUE!</v>
      </c>
      <c r="BP3" s="52" t="e">
        <f>AND('Ark1'!E42,"AAAAAHun/kM=")</f>
        <v>#VALUE!</v>
      </c>
      <c r="BQ3" s="52" t="e">
        <f>AND('Ark1'!F42,"AAAAAHun/kQ=")</f>
        <v>#VALUE!</v>
      </c>
      <c r="BR3" s="52" t="e">
        <f>AND('Ark1'!G42,"AAAAAHun/kU=")</f>
        <v>#VALUE!</v>
      </c>
      <c r="BS3" s="52" t="e">
        <f>AND('Ark1'!H42,"AAAAAHun/kY=")</f>
        <v>#VALUE!</v>
      </c>
      <c r="BT3" s="52" t="e">
        <f>AND('Ark1'!I42,"AAAAAHun/kc=")</f>
        <v>#VALUE!</v>
      </c>
      <c r="BU3" s="52" t="e">
        <f>AND('Ark1'!J42,"AAAAAHun/kg=")</f>
        <v>#VALUE!</v>
      </c>
      <c r="BV3" s="52" t="e">
        <f>AND('Ark1'!K42,"AAAAAHun/kk=")</f>
        <v>#VALUE!</v>
      </c>
      <c r="BW3" s="52" t="e">
        <f>AND('Ark1'!L42,"AAAAAHun/ko=")</f>
        <v>#VALUE!</v>
      </c>
      <c r="BX3" s="52" t="e">
        <f>AND('Ark1'!M42,"AAAAAHun/ks=")</f>
        <v>#VALUE!</v>
      </c>
      <c r="BY3" s="52">
        <f>IF('Ark1'!43:43,"AAAAAHun/kw=",0)</f>
        <v>0</v>
      </c>
      <c r="BZ3" s="52" t="e">
        <f>AND('Ark1'!A43,"AAAAAHun/k0=")</f>
        <v>#VALUE!</v>
      </c>
      <c r="CA3" s="52" t="e">
        <f>AND('Ark1'!B43,"AAAAAHun/k4=")</f>
        <v>#VALUE!</v>
      </c>
      <c r="CB3" s="52" t="e">
        <f>AND('Ark1'!C43,"AAAAAHun/k8=")</f>
        <v>#VALUE!</v>
      </c>
      <c r="CC3" s="52" t="e">
        <f>AND('Ark1'!D43,"AAAAAHun/lA=")</f>
        <v>#VALUE!</v>
      </c>
      <c r="CD3" s="52" t="e">
        <f>AND('Ark1'!E43,"AAAAAHun/lE=")</f>
        <v>#VALUE!</v>
      </c>
      <c r="CE3" s="52" t="e">
        <f>AND('Ark1'!F43,"AAAAAHun/lI=")</f>
        <v>#VALUE!</v>
      </c>
      <c r="CF3" s="52" t="e">
        <f>AND('Ark1'!G43,"AAAAAHun/lM=")</f>
        <v>#VALUE!</v>
      </c>
      <c r="CG3" s="52" t="e">
        <f>AND('Ark1'!H43,"AAAAAHun/lQ=")</f>
        <v>#VALUE!</v>
      </c>
      <c r="CH3" s="52" t="e">
        <f>AND('Ark1'!I43,"AAAAAHun/lU=")</f>
        <v>#VALUE!</v>
      </c>
      <c r="CI3" s="52" t="e">
        <f>AND('Ark1'!J43,"AAAAAHun/lY=")</f>
        <v>#VALUE!</v>
      </c>
      <c r="CJ3" s="52" t="e">
        <f>AND('Ark1'!K43,"AAAAAHun/lc=")</f>
        <v>#VALUE!</v>
      </c>
      <c r="CK3" s="52" t="e">
        <f>AND('Ark1'!L43,"AAAAAHun/lg=")</f>
        <v>#VALUE!</v>
      </c>
      <c r="CL3" s="52" t="e">
        <f>AND('Ark1'!M43,"AAAAAHun/lk=")</f>
        <v>#VALUE!</v>
      </c>
      <c r="CM3" s="52">
        <f>IF('Ark1'!44:44,"AAAAAHun/lo=",0)</f>
        <v>0</v>
      </c>
      <c r="CN3" s="52" t="e">
        <f>AND('Ark1'!A44,"AAAAAHun/ls=")</f>
        <v>#VALUE!</v>
      </c>
      <c r="CO3" s="52" t="e">
        <f>AND('Ark1'!B44,"AAAAAHun/lw=")</f>
        <v>#VALUE!</v>
      </c>
      <c r="CP3" s="52" t="e">
        <f>AND('Ark1'!C44,"AAAAAHun/l0=")</f>
        <v>#VALUE!</v>
      </c>
      <c r="CQ3" s="52" t="e">
        <f>AND('Ark1'!D44,"AAAAAHun/l4=")</f>
        <v>#VALUE!</v>
      </c>
      <c r="CR3" s="52" t="e">
        <f>AND('Ark1'!E44,"AAAAAHun/l8=")</f>
        <v>#VALUE!</v>
      </c>
      <c r="CS3" s="52" t="e">
        <f>AND('Ark1'!F44,"AAAAAHun/mA=")</f>
        <v>#VALUE!</v>
      </c>
      <c r="CT3" s="52" t="e">
        <f>AND('Ark1'!G44,"AAAAAHun/mE=")</f>
        <v>#VALUE!</v>
      </c>
      <c r="CU3" s="52" t="e">
        <f>AND('Ark1'!H44,"AAAAAHun/mI=")</f>
        <v>#VALUE!</v>
      </c>
      <c r="CV3" s="52" t="e">
        <f>AND('Ark1'!I44,"AAAAAHun/mM=")</f>
        <v>#VALUE!</v>
      </c>
      <c r="CW3" s="52" t="e">
        <f>AND('Ark1'!J44,"AAAAAHun/mQ=")</f>
        <v>#VALUE!</v>
      </c>
      <c r="CX3" s="52" t="e">
        <f>AND('Ark1'!K44,"AAAAAHun/mU=")</f>
        <v>#VALUE!</v>
      </c>
      <c r="CY3" s="52" t="e">
        <f>AND('Ark1'!L44,"AAAAAHun/mY=")</f>
        <v>#VALUE!</v>
      </c>
      <c r="CZ3" s="52" t="e">
        <f>AND('Ark1'!M44,"AAAAAHun/mc=")</f>
        <v>#VALUE!</v>
      </c>
      <c r="DA3" s="52">
        <f>IF('Ark1'!45:45,"AAAAAHun/mg=",0)</f>
        <v>0</v>
      </c>
      <c r="DB3" s="52" t="e">
        <f>AND('Ark1'!A45,"AAAAAHun/mk=")</f>
        <v>#VALUE!</v>
      </c>
      <c r="DC3" s="52" t="e">
        <f>AND('Ark1'!B45,"AAAAAHun/mo=")</f>
        <v>#VALUE!</v>
      </c>
      <c r="DD3" s="52" t="e">
        <f>AND('Ark1'!C45,"AAAAAHun/ms=")</f>
        <v>#VALUE!</v>
      </c>
      <c r="DE3" s="52" t="e">
        <f>AND('Ark1'!D45,"AAAAAHun/mw=")</f>
        <v>#VALUE!</v>
      </c>
      <c r="DF3" s="52" t="e">
        <f>AND('Ark1'!E45,"AAAAAHun/m0=")</f>
        <v>#VALUE!</v>
      </c>
      <c r="DG3" s="52" t="e">
        <f>AND('Ark1'!F45,"AAAAAHun/m4=")</f>
        <v>#VALUE!</v>
      </c>
      <c r="DH3" s="52" t="e">
        <f>AND('Ark1'!G45,"AAAAAHun/m8=")</f>
        <v>#VALUE!</v>
      </c>
      <c r="DI3" s="52" t="e">
        <f>AND('Ark1'!H45,"AAAAAHun/nA=")</f>
        <v>#VALUE!</v>
      </c>
      <c r="DJ3" s="52" t="e">
        <f>AND('Ark1'!I45,"AAAAAHun/nE=")</f>
        <v>#VALUE!</v>
      </c>
      <c r="DK3" s="52" t="e">
        <f>AND('Ark1'!J45,"AAAAAHun/nI=")</f>
        <v>#VALUE!</v>
      </c>
      <c r="DL3" s="52" t="e">
        <f>AND('Ark1'!K45,"AAAAAHun/nM=")</f>
        <v>#VALUE!</v>
      </c>
      <c r="DM3" s="52" t="e">
        <f>AND('Ark1'!L45,"AAAAAHun/nQ=")</f>
        <v>#VALUE!</v>
      </c>
      <c r="DN3" s="52" t="e">
        <f>AND('Ark1'!M45,"AAAAAHun/nU=")</f>
        <v>#VALUE!</v>
      </c>
      <c r="DO3" s="52">
        <f>IF('Ark1'!46:46,"AAAAAHun/nY=",0)</f>
        <v>0</v>
      </c>
      <c r="DP3" s="52" t="e">
        <f>AND('Ark1'!A46,"AAAAAHun/nc=")</f>
        <v>#VALUE!</v>
      </c>
      <c r="DQ3" s="52" t="e">
        <f>AND('Ark1'!B46,"AAAAAHun/ng=")</f>
        <v>#VALUE!</v>
      </c>
      <c r="DR3" s="52" t="e">
        <f>AND('Ark1'!C46,"AAAAAHun/nk=")</f>
        <v>#VALUE!</v>
      </c>
      <c r="DS3" s="52" t="e">
        <f>AND('Ark1'!D46,"AAAAAHun/no=")</f>
        <v>#VALUE!</v>
      </c>
      <c r="DT3" s="52" t="e">
        <f>AND('Ark1'!E46,"AAAAAHun/ns=")</f>
        <v>#VALUE!</v>
      </c>
      <c r="DU3" s="52" t="e">
        <f>AND('Ark1'!F46,"AAAAAHun/nw=")</f>
        <v>#VALUE!</v>
      </c>
      <c r="DV3" s="52" t="e">
        <f>AND('Ark1'!G46,"AAAAAHun/n0=")</f>
        <v>#VALUE!</v>
      </c>
      <c r="DW3" s="52" t="e">
        <f>AND('Ark1'!H46,"AAAAAHun/n4=")</f>
        <v>#VALUE!</v>
      </c>
      <c r="DX3" s="52" t="e">
        <f>AND('Ark1'!I46,"AAAAAHun/n8=")</f>
        <v>#VALUE!</v>
      </c>
      <c r="DY3" s="52" t="e">
        <f>AND('Ark1'!J46,"AAAAAHun/oA=")</f>
        <v>#VALUE!</v>
      </c>
      <c r="DZ3" s="52" t="e">
        <f>AND('Ark1'!K46,"AAAAAHun/oE=")</f>
        <v>#VALUE!</v>
      </c>
      <c r="EA3" s="52" t="e">
        <f>AND('Ark1'!L46,"AAAAAHun/oI=")</f>
        <v>#VALUE!</v>
      </c>
      <c r="EB3" s="52" t="e">
        <f>AND('Ark1'!M46,"AAAAAHun/oM=")</f>
        <v>#VALUE!</v>
      </c>
      <c r="EC3" s="52">
        <f>IF('Ark1'!47:47,"AAAAAHun/oQ=",0)</f>
        <v>0</v>
      </c>
      <c r="ED3" s="52" t="e">
        <f>AND('Ark1'!A47,"AAAAAHun/oU=")</f>
        <v>#VALUE!</v>
      </c>
      <c r="EE3" s="52" t="e">
        <f>AND('Ark1'!B47,"AAAAAHun/oY=")</f>
        <v>#VALUE!</v>
      </c>
      <c r="EF3" s="52" t="e">
        <f>AND('Ark1'!C47,"AAAAAHun/oc=")</f>
        <v>#VALUE!</v>
      </c>
      <c r="EG3" s="52" t="e">
        <f>AND('Ark1'!D47,"AAAAAHun/og=")</f>
        <v>#VALUE!</v>
      </c>
      <c r="EH3" s="52" t="e">
        <f>AND('Ark1'!E47,"AAAAAHun/ok=")</f>
        <v>#VALUE!</v>
      </c>
      <c r="EI3" s="52" t="e">
        <f>AND('Ark1'!F47,"AAAAAHun/oo=")</f>
        <v>#VALUE!</v>
      </c>
      <c r="EJ3" s="52" t="e">
        <f>AND('Ark1'!G47,"AAAAAHun/os=")</f>
        <v>#VALUE!</v>
      </c>
      <c r="EK3" s="52" t="e">
        <f>AND('Ark1'!H47,"AAAAAHun/ow=")</f>
        <v>#VALUE!</v>
      </c>
      <c r="EL3" s="52" t="e">
        <f>AND('Ark1'!I47,"AAAAAHun/o0=")</f>
        <v>#VALUE!</v>
      </c>
      <c r="EM3" s="52" t="e">
        <f>AND('Ark1'!J47,"AAAAAHun/o4=")</f>
        <v>#VALUE!</v>
      </c>
      <c r="EN3" s="52" t="e">
        <f>AND('Ark1'!K47,"AAAAAHun/o8=")</f>
        <v>#VALUE!</v>
      </c>
      <c r="EO3" s="52" t="e">
        <f>AND('Ark1'!L47,"AAAAAHun/pA=")</f>
        <v>#VALUE!</v>
      </c>
      <c r="EP3" s="52" t="e">
        <f>AND('Ark1'!M47,"AAAAAHun/pE=")</f>
        <v>#VALUE!</v>
      </c>
      <c r="EQ3" s="52">
        <f>IF('Ark1'!48:48,"AAAAAHun/pI=",0)</f>
        <v>0</v>
      </c>
      <c r="ER3" s="52" t="e">
        <f>AND('Ark1'!A48,"AAAAAHun/pM=")</f>
        <v>#VALUE!</v>
      </c>
      <c r="ES3" s="52" t="e">
        <f>AND('Ark1'!B48,"AAAAAHun/pQ=")</f>
        <v>#VALUE!</v>
      </c>
      <c r="ET3" s="52" t="e">
        <f>AND('Ark1'!C48,"AAAAAHun/pU=")</f>
        <v>#VALUE!</v>
      </c>
      <c r="EU3" s="52" t="e">
        <f>AND('Ark1'!D48,"AAAAAHun/pY=")</f>
        <v>#VALUE!</v>
      </c>
      <c r="EV3" s="52" t="e">
        <f>AND('Ark1'!E48,"AAAAAHun/pc=")</f>
        <v>#VALUE!</v>
      </c>
      <c r="EW3" s="52" t="e">
        <f>AND(#REF!,"AAAAAHun/pg=")</f>
        <v>#REF!</v>
      </c>
      <c r="EX3" s="52" t="e">
        <f>AND('Ark1'!G48,"AAAAAHun/pk=")</f>
        <v>#VALUE!</v>
      </c>
      <c r="EY3" s="52" t="e">
        <f>AND('Ark1'!H48,"AAAAAHun/po=")</f>
        <v>#VALUE!</v>
      </c>
      <c r="EZ3" s="52" t="e">
        <f>AND('Ark1'!I48,"AAAAAHun/ps=")</f>
        <v>#VALUE!</v>
      </c>
      <c r="FA3" s="52" t="e">
        <f>AND('Ark1'!J48,"AAAAAHun/pw=")</f>
        <v>#VALUE!</v>
      </c>
      <c r="FB3" s="52" t="e">
        <f>AND('Ark1'!K48,"AAAAAHun/p0=")</f>
        <v>#VALUE!</v>
      </c>
      <c r="FC3" s="52" t="e">
        <f>AND('Ark1'!L48,"AAAAAHun/p4=")</f>
        <v>#VALUE!</v>
      </c>
      <c r="FD3" s="52" t="e">
        <f>AND('Ark1'!M48,"AAAAAHun/p8=")</f>
        <v>#VALUE!</v>
      </c>
      <c r="FE3" s="52">
        <f>IF('Ark1'!49:49,"AAAAAHun/qA=",0)</f>
        <v>0</v>
      </c>
      <c r="FF3" s="52" t="e">
        <f>AND('Ark1'!A49,"AAAAAHun/qE=")</f>
        <v>#VALUE!</v>
      </c>
      <c r="FG3" s="52" t="e">
        <f>AND('Ark1'!B49,"AAAAAHun/qI=")</f>
        <v>#VALUE!</v>
      </c>
      <c r="FH3" s="52" t="e">
        <f>AND('Ark1'!C49,"AAAAAHun/qM=")</f>
        <v>#VALUE!</v>
      </c>
      <c r="FI3" s="52" t="e">
        <f>AND('Ark1'!D49,"AAAAAHun/qQ=")</f>
        <v>#VALUE!</v>
      </c>
      <c r="FJ3" s="52" t="e">
        <f>AND('Ark1'!E49,"AAAAAHun/qU=")</f>
        <v>#VALUE!</v>
      </c>
      <c r="FK3" s="52" t="e">
        <f>AND(#REF!,"AAAAAHun/qY=")</f>
        <v>#REF!</v>
      </c>
      <c r="FL3" s="52" t="e">
        <f>AND('Ark1'!G49,"AAAAAHun/qc=")</f>
        <v>#VALUE!</v>
      </c>
      <c r="FM3" s="52" t="e">
        <f>AND('Ark1'!H49,"AAAAAHun/qg=")</f>
        <v>#VALUE!</v>
      </c>
      <c r="FN3" s="52" t="e">
        <f>AND('Ark1'!I49,"AAAAAHun/qk=")</f>
        <v>#VALUE!</v>
      </c>
      <c r="FO3" s="52" t="e">
        <f>AND('Ark1'!J49,"AAAAAHun/qo=")</f>
        <v>#VALUE!</v>
      </c>
      <c r="FP3" s="52" t="e">
        <f>AND('Ark1'!K49,"AAAAAHun/qs=")</f>
        <v>#VALUE!</v>
      </c>
      <c r="FQ3" s="52" t="e">
        <f>AND('Ark1'!L49,"AAAAAHun/qw=")</f>
        <v>#VALUE!</v>
      </c>
      <c r="FR3" s="52" t="e">
        <f>AND('Ark1'!M49,"AAAAAHun/q0=")</f>
        <v>#VALUE!</v>
      </c>
      <c r="FS3" s="52">
        <f>IF('Ark1'!50:50,"AAAAAHun/q4=",0)</f>
        <v>0</v>
      </c>
      <c r="FT3" s="52" t="e">
        <f>AND('Ark1'!A50,"AAAAAHun/q8=")</f>
        <v>#VALUE!</v>
      </c>
      <c r="FU3" s="52" t="e">
        <f>AND('Ark1'!B50,"AAAAAHun/rA=")</f>
        <v>#VALUE!</v>
      </c>
      <c r="FV3" s="52" t="e">
        <f>AND('Ark1'!C50,"AAAAAHun/rE=")</f>
        <v>#VALUE!</v>
      </c>
      <c r="FW3" s="52" t="e">
        <f>AND('Ark1'!D50,"AAAAAHun/rI=")</f>
        <v>#VALUE!</v>
      </c>
      <c r="FX3" s="52" t="e">
        <f>AND('Ark1'!E50,"AAAAAHun/rM=")</f>
        <v>#VALUE!</v>
      </c>
      <c r="FY3" s="52" t="e">
        <f>AND(#REF!,"AAAAAHun/rQ=")</f>
        <v>#REF!</v>
      </c>
      <c r="FZ3" s="52" t="e">
        <f>AND('Ark1'!G50,"AAAAAHun/rU=")</f>
        <v>#VALUE!</v>
      </c>
      <c r="GA3" s="52" t="e">
        <f>AND('Ark1'!H50,"AAAAAHun/rY=")</f>
        <v>#VALUE!</v>
      </c>
      <c r="GB3" s="52" t="e">
        <f>AND('Ark1'!I50,"AAAAAHun/rc=")</f>
        <v>#VALUE!</v>
      </c>
      <c r="GC3" s="52" t="e">
        <f>AND('Ark1'!J50,"AAAAAHun/rg=")</f>
        <v>#VALUE!</v>
      </c>
      <c r="GD3" s="52" t="e">
        <f>AND('Ark1'!K50,"AAAAAHun/rk=")</f>
        <v>#VALUE!</v>
      </c>
      <c r="GE3" s="52" t="e">
        <f>AND('Ark1'!L50,"AAAAAHun/ro=")</f>
        <v>#VALUE!</v>
      </c>
      <c r="GF3" s="52" t="e">
        <f>AND('Ark1'!M50,"AAAAAHun/rs=")</f>
        <v>#VALUE!</v>
      </c>
      <c r="GG3" s="52">
        <f>IF('Ark1'!51:51,"AAAAAHun/rw=",0)</f>
        <v>0</v>
      </c>
      <c r="GH3" s="52" t="e">
        <f>AND('Ark1'!A51,"AAAAAHun/r0=")</f>
        <v>#VALUE!</v>
      </c>
      <c r="GI3" s="52" t="e">
        <f>AND('Ark1'!B51,"AAAAAHun/r4=")</f>
        <v>#VALUE!</v>
      </c>
      <c r="GJ3" s="52" t="e">
        <f>AND('Ark1'!C51,"AAAAAHun/r8=")</f>
        <v>#VALUE!</v>
      </c>
      <c r="GK3" s="52" t="e">
        <f>AND('Ark1'!D51,"AAAAAHun/sA=")</f>
        <v>#VALUE!</v>
      </c>
      <c r="GL3" s="52" t="e">
        <f>AND('Ark1'!E51,"AAAAAHun/sE=")</f>
        <v>#VALUE!</v>
      </c>
      <c r="GM3" s="52" t="e">
        <f>AND(#REF!,"AAAAAHun/sI=")</f>
        <v>#REF!</v>
      </c>
      <c r="GN3" s="52" t="e">
        <f>AND('Ark1'!G51,"AAAAAHun/sM=")</f>
        <v>#VALUE!</v>
      </c>
      <c r="GO3" s="52" t="e">
        <f>AND('Ark1'!H51,"AAAAAHun/sQ=")</f>
        <v>#VALUE!</v>
      </c>
      <c r="GP3" s="52" t="e">
        <f>AND('Ark1'!I51,"AAAAAHun/sU=")</f>
        <v>#VALUE!</v>
      </c>
      <c r="GQ3" s="52" t="e">
        <f>AND('Ark1'!J51,"AAAAAHun/sY=")</f>
        <v>#VALUE!</v>
      </c>
      <c r="GR3" s="52" t="e">
        <f>AND('Ark1'!K51,"AAAAAHun/sc=")</f>
        <v>#VALUE!</v>
      </c>
      <c r="GS3" s="52" t="e">
        <f>AND('Ark1'!L51,"AAAAAHun/sg=")</f>
        <v>#VALUE!</v>
      </c>
      <c r="GT3" s="52" t="e">
        <f>AND('Ark1'!M51,"AAAAAHun/sk=")</f>
        <v>#VALUE!</v>
      </c>
      <c r="GU3" s="52">
        <f>IF('Ark1'!52:52,"AAAAAHun/so=",0)</f>
        <v>0</v>
      </c>
      <c r="GV3" s="52" t="e">
        <f>AND('Ark1'!A52,"AAAAAHun/ss=")</f>
        <v>#VALUE!</v>
      </c>
      <c r="GW3" s="52" t="e">
        <f>AND('Ark1'!B52,"AAAAAHun/sw=")</f>
        <v>#VALUE!</v>
      </c>
      <c r="GX3" s="52" t="e">
        <f>AND('Ark1'!C52,"AAAAAHun/s0=")</f>
        <v>#VALUE!</v>
      </c>
      <c r="GY3" s="52" t="e">
        <f>AND('Ark1'!D52,"AAAAAHun/s4=")</f>
        <v>#VALUE!</v>
      </c>
      <c r="GZ3" s="52" t="e">
        <f>AND('Ark1'!E52,"AAAAAHun/s8=")</f>
        <v>#VALUE!</v>
      </c>
      <c r="HA3" s="52" t="e">
        <f>AND(#REF!,"AAAAAHun/tA=")</f>
        <v>#REF!</v>
      </c>
      <c r="HB3" s="52" t="e">
        <f>AND('Ark1'!G52,"AAAAAHun/tE=")</f>
        <v>#VALUE!</v>
      </c>
      <c r="HC3" s="52" t="e">
        <f>AND('Ark1'!H52,"AAAAAHun/tI=")</f>
        <v>#VALUE!</v>
      </c>
      <c r="HD3" s="52" t="e">
        <f>AND('Ark1'!I52,"AAAAAHun/tM=")</f>
        <v>#VALUE!</v>
      </c>
      <c r="HE3" s="52" t="e">
        <f>AND('Ark1'!J52,"AAAAAHun/tQ=")</f>
        <v>#VALUE!</v>
      </c>
      <c r="HF3" s="52" t="e">
        <f>AND('Ark1'!K52,"AAAAAHun/tU=")</f>
        <v>#VALUE!</v>
      </c>
      <c r="HG3" s="52" t="e">
        <f>AND('Ark1'!L52,"AAAAAHun/tY=")</f>
        <v>#VALUE!</v>
      </c>
      <c r="HH3" s="52" t="e">
        <f>AND('Ark1'!M52,"AAAAAHun/tc=")</f>
        <v>#VALUE!</v>
      </c>
      <c r="HI3" s="52">
        <f>IF('Ark1'!53:53,"AAAAAHun/tg=",0)</f>
        <v>0</v>
      </c>
      <c r="HJ3" s="52" t="e">
        <f>AND('Ark1'!A53,"AAAAAHun/tk=")</f>
        <v>#VALUE!</v>
      </c>
      <c r="HK3" s="52" t="e">
        <f>AND('Ark1'!B53,"AAAAAHun/to=")</f>
        <v>#VALUE!</v>
      </c>
      <c r="HL3" s="52" t="e">
        <f>AND('Ark1'!C53,"AAAAAHun/ts=")</f>
        <v>#VALUE!</v>
      </c>
      <c r="HM3" s="52" t="e">
        <f>AND('Ark1'!D53,"AAAAAHun/tw=")</f>
        <v>#VALUE!</v>
      </c>
      <c r="HN3" s="52" t="e">
        <f>AND('Ark1'!E53,"AAAAAHun/t0=")</f>
        <v>#VALUE!</v>
      </c>
      <c r="HO3" s="52" t="e">
        <f>AND('Ark1'!F53,"AAAAAHun/t4=")</f>
        <v>#VALUE!</v>
      </c>
      <c r="HP3" s="52" t="e">
        <f>AND('Ark1'!G53,"AAAAAHun/t8=")</f>
        <v>#VALUE!</v>
      </c>
      <c r="HQ3" s="52" t="e">
        <f>AND('Ark1'!H53,"AAAAAHun/uA=")</f>
        <v>#VALUE!</v>
      </c>
      <c r="HR3" s="52" t="e">
        <f>AND('Ark1'!I53,"AAAAAHun/uE=")</f>
        <v>#VALUE!</v>
      </c>
      <c r="HS3" s="52" t="e">
        <f>AND('Ark1'!J53,"AAAAAHun/uI=")</f>
        <v>#VALUE!</v>
      </c>
      <c r="HT3" s="52" t="e">
        <f>AND('Ark1'!K53,"AAAAAHun/uM=")</f>
        <v>#VALUE!</v>
      </c>
      <c r="HU3" s="52" t="e">
        <f>AND('Ark1'!L53,"AAAAAHun/uQ=")</f>
        <v>#VALUE!</v>
      </c>
      <c r="HV3" s="52" t="e">
        <f>AND('Ark1'!M53,"AAAAAHun/uU=")</f>
        <v>#VALUE!</v>
      </c>
      <c r="HW3" s="52">
        <f>IF('Ark1'!54:54,"AAAAAHun/uY=",0)</f>
        <v>0</v>
      </c>
      <c r="HX3" s="52" t="e">
        <f>AND('Ark1'!A54,"AAAAAHun/uc=")</f>
        <v>#VALUE!</v>
      </c>
      <c r="HY3" s="52" t="e">
        <f>AND('Ark1'!B54,"AAAAAHun/ug=")</f>
        <v>#VALUE!</v>
      </c>
      <c r="HZ3" s="52" t="e">
        <f>AND('Ark1'!C54,"AAAAAHun/uk=")</f>
        <v>#VALUE!</v>
      </c>
      <c r="IA3" s="52" t="e">
        <f>AND('Ark1'!D54,"AAAAAHun/uo=")</f>
        <v>#VALUE!</v>
      </c>
      <c r="IB3" s="52" t="e">
        <f>AND('Ark1'!E54,"AAAAAHun/us=")</f>
        <v>#VALUE!</v>
      </c>
      <c r="IC3" s="52" t="e">
        <f>AND('Ark1'!F54,"AAAAAHun/uw=")</f>
        <v>#VALUE!</v>
      </c>
      <c r="ID3" s="52" t="e">
        <f>AND('Ark1'!G54,"AAAAAHun/u0=")</f>
        <v>#VALUE!</v>
      </c>
      <c r="IE3" s="52" t="e">
        <f>AND('Ark1'!H54,"AAAAAHun/u4=")</f>
        <v>#VALUE!</v>
      </c>
      <c r="IF3" s="52" t="e">
        <f>AND('Ark1'!I54,"AAAAAHun/u8=")</f>
        <v>#VALUE!</v>
      </c>
      <c r="IG3" s="52" t="e">
        <f>AND('Ark1'!J54,"AAAAAHun/vA=")</f>
        <v>#VALUE!</v>
      </c>
      <c r="IH3" s="52" t="e">
        <f>AND('Ark1'!K54,"AAAAAHun/vE=")</f>
        <v>#VALUE!</v>
      </c>
      <c r="II3" s="52" t="e">
        <f>AND('Ark1'!L54,"AAAAAHun/vI=")</f>
        <v>#VALUE!</v>
      </c>
      <c r="IJ3" s="52" t="e">
        <f>AND('Ark1'!M54,"AAAAAHun/vM=")</f>
        <v>#VALUE!</v>
      </c>
      <c r="IK3" s="52">
        <f>IF('Ark1'!55:55,"AAAAAHun/vQ=",0)</f>
        <v>0</v>
      </c>
      <c r="IL3" s="52" t="e">
        <f>AND('Ark1'!A55,"AAAAAHun/vU=")</f>
        <v>#VALUE!</v>
      </c>
      <c r="IM3" s="52" t="e">
        <f>AND('Ark1'!B55,"AAAAAHun/vY=")</f>
        <v>#VALUE!</v>
      </c>
      <c r="IN3" s="52" t="e">
        <f>AND('Ark1'!C55,"AAAAAHun/vc=")</f>
        <v>#VALUE!</v>
      </c>
      <c r="IO3" s="52" t="e">
        <f>AND('Ark1'!D55,"AAAAAHun/vg=")</f>
        <v>#VALUE!</v>
      </c>
      <c r="IP3" s="52" t="e">
        <f>AND('Ark1'!E55,"AAAAAHun/vk=")</f>
        <v>#VALUE!</v>
      </c>
      <c r="IQ3" s="52" t="e">
        <f>AND('Ark1'!F55,"AAAAAHun/vo=")</f>
        <v>#VALUE!</v>
      </c>
      <c r="IR3" s="52" t="e">
        <f>AND('Ark1'!G55,"AAAAAHun/vs=")</f>
        <v>#VALUE!</v>
      </c>
      <c r="IS3" s="52" t="e">
        <f>AND('Ark1'!H55,"AAAAAHun/vw=")</f>
        <v>#VALUE!</v>
      </c>
      <c r="IT3" s="52" t="e">
        <f>AND('Ark1'!I55,"AAAAAHun/v0=")</f>
        <v>#VALUE!</v>
      </c>
      <c r="IU3" s="52" t="e">
        <f>AND('Ark1'!J55,"AAAAAHun/v4=")</f>
        <v>#VALUE!</v>
      </c>
      <c r="IV3" s="52" t="e">
        <f>AND('Ark1'!K55,"AAAAAHun/v8=")</f>
        <v>#VALUE!</v>
      </c>
    </row>
    <row r="4" spans="1:256" ht="13.5" customHeight="1" x14ac:dyDescent="0.2">
      <c r="A4" s="52" t="e">
        <f>AND('Ark1'!L55,"AAAAAHffjgA=")</f>
        <v>#VALUE!</v>
      </c>
      <c r="B4" s="52" t="e">
        <f>AND('Ark1'!M55,"AAAAAHffjgE=")</f>
        <v>#VALUE!</v>
      </c>
      <c r="C4" s="52">
        <f>IF('Ark1'!56:56,"AAAAAHffjgI=",0)</f>
        <v>0</v>
      </c>
      <c r="D4" s="52" t="e">
        <f>AND('Ark1'!A56,"AAAAAHffjgM=")</f>
        <v>#VALUE!</v>
      </c>
      <c r="E4" s="52" t="e">
        <f>AND('Ark1'!B56,"AAAAAHffjgQ=")</f>
        <v>#VALUE!</v>
      </c>
      <c r="F4" s="52" t="e">
        <f>AND('Ark1'!C56,"AAAAAHffjgU=")</f>
        <v>#VALUE!</v>
      </c>
      <c r="G4" s="52" t="e">
        <f>AND('Ark1'!D56,"AAAAAHffjgY=")</f>
        <v>#VALUE!</v>
      </c>
      <c r="H4" s="52" t="e">
        <f>AND('Ark1'!E56,"AAAAAHffjgc=")</f>
        <v>#VALUE!</v>
      </c>
      <c r="I4" s="52" t="e">
        <f>AND('Ark1'!F56,"AAAAAHffjgg=")</f>
        <v>#VALUE!</v>
      </c>
      <c r="J4" s="52" t="e">
        <f>AND('Ark1'!G56,"AAAAAHffjgk=")</f>
        <v>#VALUE!</v>
      </c>
      <c r="K4" s="52" t="e">
        <f>AND('Ark1'!H56,"AAAAAHffjgo=")</f>
        <v>#VALUE!</v>
      </c>
      <c r="L4" s="52" t="e">
        <f>AND('Ark1'!I56,"AAAAAHffjgs=")</f>
        <v>#VALUE!</v>
      </c>
      <c r="M4" s="52" t="e">
        <f>AND('Ark1'!J56,"AAAAAHffjgw=")</f>
        <v>#VALUE!</v>
      </c>
      <c r="N4" s="52" t="e">
        <f>AND('Ark1'!K56,"AAAAAHffjg0=")</f>
        <v>#VALUE!</v>
      </c>
      <c r="O4" s="52" t="e">
        <f>AND('Ark1'!L56,"AAAAAHffjg4=")</f>
        <v>#VALUE!</v>
      </c>
      <c r="P4" s="52" t="e">
        <f>AND('Ark1'!M56,"AAAAAHffjg8=")</f>
        <v>#VALUE!</v>
      </c>
      <c r="Q4" s="52">
        <f>IF('Ark1'!57:57,"AAAAAHffjhA=",0)</f>
        <v>0</v>
      </c>
      <c r="R4" s="52" t="e">
        <f>AND('Ark1'!A57,"AAAAAHffjhE=")</f>
        <v>#VALUE!</v>
      </c>
      <c r="S4" s="52" t="e">
        <f>AND('Ark1'!B57,"AAAAAHffjhI=")</f>
        <v>#VALUE!</v>
      </c>
      <c r="T4" s="52" t="e">
        <f>AND('Ark1'!C57,"AAAAAHffjhM=")</f>
        <v>#VALUE!</v>
      </c>
      <c r="U4" s="52" t="e">
        <f>AND('Ark1'!D57,"AAAAAHffjhQ=")</f>
        <v>#VALUE!</v>
      </c>
      <c r="V4" s="52" t="e">
        <f>AND('Ark1'!E57,"AAAAAHffjhU=")</f>
        <v>#VALUE!</v>
      </c>
      <c r="W4" s="52" t="e">
        <f>AND('Ark1'!F57,"AAAAAHffjhY=")</f>
        <v>#VALUE!</v>
      </c>
      <c r="X4" s="52" t="e">
        <f>AND('Ark1'!G57,"AAAAAHffjhc=")</f>
        <v>#VALUE!</v>
      </c>
      <c r="Y4" s="52" t="e">
        <f>AND('Ark1'!H57,"AAAAAHffjhg=")</f>
        <v>#VALUE!</v>
      </c>
      <c r="Z4" s="52" t="e">
        <f>AND('Ark1'!I57,"AAAAAHffjhk=")</f>
        <v>#VALUE!</v>
      </c>
      <c r="AA4" s="52" t="e">
        <f>AND('Ark1'!J57,"AAAAAHffjho=")</f>
        <v>#VALUE!</v>
      </c>
      <c r="AB4" s="52" t="e">
        <f>AND('Ark1'!K57,"AAAAAHffjhs=")</f>
        <v>#VALUE!</v>
      </c>
      <c r="AC4" s="52" t="e">
        <f>AND('Ark1'!L57,"AAAAAHffjhw=")</f>
        <v>#VALUE!</v>
      </c>
      <c r="AD4" s="52" t="e">
        <f>AND('Ark1'!M57,"AAAAAHffjh0=")</f>
        <v>#VALUE!</v>
      </c>
      <c r="AE4" s="52">
        <f>IF('Ark1'!58:58,"AAAAAHffjh4=",0)</f>
        <v>0</v>
      </c>
      <c r="AF4" s="52" t="e">
        <f>AND('Ark1'!A58,"AAAAAHffjh8=")</f>
        <v>#VALUE!</v>
      </c>
      <c r="AG4" s="52" t="e">
        <f>AND('Ark1'!B58,"AAAAAHffjiA=")</f>
        <v>#VALUE!</v>
      </c>
      <c r="AH4" s="52" t="e">
        <f>AND('Ark1'!C58,"AAAAAHffjiE=")</f>
        <v>#VALUE!</v>
      </c>
      <c r="AI4" s="52" t="e">
        <f>AND('Ark1'!D58,"AAAAAHffjiI=")</f>
        <v>#VALUE!</v>
      </c>
      <c r="AJ4" s="52" t="e">
        <f>AND('Ark1'!E58,"AAAAAHffjiM=")</f>
        <v>#VALUE!</v>
      </c>
      <c r="AK4" s="52" t="e">
        <f>AND('Ark1'!F58,"AAAAAHffjiQ=")</f>
        <v>#VALUE!</v>
      </c>
      <c r="AL4" s="52" t="e">
        <f>AND('Ark1'!G58,"AAAAAHffjiU=")</f>
        <v>#VALUE!</v>
      </c>
      <c r="AM4" s="52" t="e">
        <f>AND('Ark1'!H58,"AAAAAHffjiY=")</f>
        <v>#VALUE!</v>
      </c>
      <c r="AN4" s="52" t="e">
        <f>AND('Ark1'!I58,"AAAAAHffjic=")</f>
        <v>#VALUE!</v>
      </c>
      <c r="AO4" s="52" t="e">
        <f>AND('Ark1'!J58,"AAAAAHffjig=")</f>
        <v>#VALUE!</v>
      </c>
      <c r="AP4" s="52" t="e">
        <f>AND('Ark1'!K58,"AAAAAHffjik=")</f>
        <v>#VALUE!</v>
      </c>
      <c r="AQ4" s="52" t="e">
        <f>AND('Ark1'!L58,"AAAAAHffjio=")</f>
        <v>#VALUE!</v>
      </c>
      <c r="AR4" s="52" t="e">
        <f>AND('Ark1'!M58,"AAAAAHffjis=")</f>
        <v>#VALUE!</v>
      </c>
      <c r="AS4" s="52">
        <f>IF('Ark1'!59:59,"AAAAAHffjiw=",0)</f>
        <v>0</v>
      </c>
      <c r="AT4" s="52" t="e">
        <f>AND('Ark1'!A59,"AAAAAHffji0=")</f>
        <v>#VALUE!</v>
      </c>
      <c r="AU4" s="52" t="e">
        <f>AND('Ark1'!B59,"AAAAAHffji4=")</f>
        <v>#VALUE!</v>
      </c>
      <c r="AV4" s="52" t="e">
        <f>AND('Ark1'!C59,"AAAAAHffji8=")</f>
        <v>#VALUE!</v>
      </c>
      <c r="AW4" s="52" t="e">
        <f>AND('Ark1'!D59,"AAAAAHffjjA=")</f>
        <v>#VALUE!</v>
      </c>
      <c r="AX4" s="52" t="e">
        <f>AND('Ark1'!E59,"AAAAAHffjjE=")</f>
        <v>#VALUE!</v>
      </c>
      <c r="AY4" s="52" t="e">
        <f>AND('Ark1'!F59,"AAAAAHffjjI=")</f>
        <v>#VALUE!</v>
      </c>
      <c r="AZ4" s="52" t="e">
        <f>AND('Ark1'!G59,"AAAAAHffjjM=")</f>
        <v>#VALUE!</v>
      </c>
      <c r="BA4" s="52" t="e">
        <f>AND('Ark1'!H59,"AAAAAHffjjQ=")</f>
        <v>#VALUE!</v>
      </c>
      <c r="BB4" s="52" t="e">
        <f>AND('Ark1'!I59,"AAAAAHffjjU=")</f>
        <v>#VALUE!</v>
      </c>
      <c r="BC4" s="52" t="e">
        <f>AND('Ark1'!J59,"AAAAAHffjjY=")</f>
        <v>#VALUE!</v>
      </c>
      <c r="BD4" s="52" t="e">
        <f>AND('Ark1'!K59,"AAAAAHffjjc=")</f>
        <v>#VALUE!</v>
      </c>
      <c r="BE4" s="52" t="e">
        <f>AND('Ark1'!L59,"AAAAAHffjjg=")</f>
        <v>#VALUE!</v>
      </c>
      <c r="BF4" s="52" t="e">
        <f>AND('Ark1'!M59,"AAAAAHffjjk=")</f>
        <v>#VALUE!</v>
      </c>
      <c r="BG4" s="52">
        <f>IF('Ark1'!60:60,"AAAAAHffjjo=",0)</f>
        <v>0</v>
      </c>
      <c r="BH4" s="52" t="e">
        <f>AND('Ark1'!A60,"AAAAAHffjjs=")</f>
        <v>#VALUE!</v>
      </c>
      <c r="BI4" s="52" t="e">
        <f>AND('Ark1'!B60,"AAAAAHffjjw=")</f>
        <v>#VALUE!</v>
      </c>
      <c r="BJ4" s="52" t="e">
        <f>AND('Ark1'!C60,"AAAAAHffjj0=")</f>
        <v>#VALUE!</v>
      </c>
      <c r="BK4" s="52" t="e">
        <f>AND('Ark1'!D60,"AAAAAHffjj4=")</f>
        <v>#VALUE!</v>
      </c>
      <c r="BL4" s="52" t="e">
        <f>AND('Ark1'!E60,"AAAAAHffjj8=")</f>
        <v>#VALUE!</v>
      </c>
      <c r="BM4" s="52" t="e">
        <f>AND('Ark1'!F60,"AAAAAHffjkA=")</f>
        <v>#VALUE!</v>
      </c>
      <c r="BN4" s="52" t="e">
        <f>AND('Ark1'!G60,"AAAAAHffjkE=")</f>
        <v>#VALUE!</v>
      </c>
      <c r="BO4" s="52" t="e">
        <f>AND('Ark1'!H60,"AAAAAHffjkI=")</f>
        <v>#VALUE!</v>
      </c>
      <c r="BP4" s="52" t="e">
        <f>AND('Ark1'!I60,"AAAAAHffjkM=")</f>
        <v>#VALUE!</v>
      </c>
      <c r="BQ4" s="52" t="e">
        <f>AND('Ark1'!J60,"AAAAAHffjkQ=")</f>
        <v>#VALUE!</v>
      </c>
      <c r="BR4" s="52" t="e">
        <f>AND('Ark1'!K60,"AAAAAHffjkU=")</f>
        <v>#VALUE!</v>
      </c>
      <c r="BS4" s="52" t="e">
        <f>AND('Ark1'!L60,"AAAAAHffjkY=")</f>
        <v>#VALUE!</v>
      </c>
      <c r="BT4" s="52" t="e">
        <f>AND('Ark1'!M60,"AAAAAHffjkc=")</f>
        <v>#VALUE!</v>
      </c>
      <c r="BU4" s="52">
        <f>IF('Ark1'!61:61,"AAAAAHffjkg=",0)</f>
        <v>0</v>
      </c>
      <c r="BV4" s="52" t="e">
        <f>AND('Ark1'!A61,"AAAAAHffjkk=")</f>
        <v>#VALUE!</v>
      </c>
      <c r="BW4" s="52" t="e">
        <f>AND('Ark1'!B61,"AAAAAHffjko=")</f>
        <v>#VALUE!</v>
      </c>
      <c r="BX4" s="52" t="e">
        <f>AND('Ark1'!C61,"AAAAAHffjks=")</f>
        <v>#VALUE!</v>
      </c>
      <c r="BY4" s="52" t="e">
        <f>AND('Ark1'!D61,"AAAAAHffjkw=")</f>
        <v>#VALUE!</v>
      </c>
      <c r="BZ4" s="52" t="e">
        <f>AND('Ark1'!E61,"AAAAAHffjk0=")</f>
        <v>#VALUE!</v>
      </c>
      <c r="CA4" s="52" t="e">
        <f>AND('Ark1'!F61,"AAAAAHffjk4=")</f>
        <v>#VALUE!</v>
      </c>
      <c r="CB4" s="52" t="e">
        <f>AND('Ark1'!G61,"AAAAAHffjk8=")</f>
        <v>#VALUE!</v>
      </c>
      <c r="CC4" s="52" t="e">
        <f>AND('Ark1'!H61,"AAAAAHffjlA=")</f>
        <v>#VALUE!</v>
      </c>
      <c r="CD4" s="52" t="e">
        <f>AND('Ark1'!I61,"AAAAAHffjlE=")</f>
        <v>#VALUE!</v>
      </c>
      <c r="CE4" s="52" t="e">
        <f>AND('Ark1'!J61,"AAAAAHffjlI=")</f>
        <v>#VALUE!</v>
      </c>
      <c r="CF4" s="52" t="e">
        <f>AND('Ark1'!K61,"AAAAAHffjlM=")</f>
        <v>#VALUE!</v>
      </c>
      <c r="CG4" s="52" t="e">
        <f>AND('Ark1'!L61,"AAAAAHffjlQ=")</f>
        <v>#VALUE!</v>
      </c>
      <c r="CH4" s="52" t="e">
        <f>AND('Ark1'!M61,"AAAAAHffjlU=")</f>
        <v>#VALUE!</v>
      </c>
      <c r="CI4" s="52">
        <f>IF('Ark1'!62:62,"AAAAAHffjlY=",0)</f>
        <v>0</v>
      </c>
      <c r="CJ4" s="52" t="e">
        <f>AND('Ark1'!A62,"AAAAAHffjlc=")</f>
        <v>#VALUE!</v>
      </c>
      <c r="CK4" s="52" t="e">
        <f>AND('Ark1'!B62,"AAAAAHffjlg=")</f>
        <v>#VALUE!</v>
      </c>
      <c r="CL4" s="52" t="e">
        <f>AND('Ark1'!C62,"AAAAAHffjlk=")</f>
        <v>#VALUE!</v>
      </c>
      <c r="CM4" s="52" t="e">
        <f>AND('Ark1'!D62,"AAAAAHffjlo=")</f>
        <v>#VALUE!</v>
      </c>
      <c r="CN4" s="52" t="e">
        <f>AND('Ark1'!E62,"AAAAAHffjls=")</f>
        <v>#VALUE!</v>
      </c>
      <c r="CO4" s="52" t="e">
        <f>AND('Ark1'!F62,"AAAAAHffjlw=")</f>
        <v>#VALUE!</v>
      </c>
      <c r="CP4" s="52" t="e">
        <f>AND('Ark1'!G62,"AAAAAHffjl0=")</f>
        <v>#VALUE!</v>
      </c>
      <c r="CQ4" s="52" t="e">
        <f>AND('Ark1'!H62,"AAAAAHffjl4=")</f>
        <v>#VALUE!</v>
      </c>
      <c r="CR4" s="52" t="e">
        <f>AND('Ark1'!I62,"AAAAAHffjl8=")</f>
        <v>#VALUE!</v>
      </c>
      <c r="CS4" s="52" t="e">
        <f>AND('Ark1'!J62,"AAAAAHffjmA=")</f>
        <v>#VALUE!</v>
      </c>
      <c r="CT4" s="52" t="e">
        <f>AND('Ark1'!K62,"AAAAAHffjmE=")</f>
        <v>#VALUE!</v>
      </c>
      <c r="CU4" s="52" t="e">
        <f>AND('Ark1'!L62,"AAAAAHffjmI=")</f>
        <v>#VALUE!</v>
      </c>
      <c r="CV4" s="52" t="e">
        <f>AND('Ark1'!M62,"AAAAAHffjmM=")</f>
        <v>#VALUE!</v>
      </c>
      <c r="CW4" s="52">
        <f>IF('Ark1'!63:63,"AAAAAHffjmQ=",0)</f>
        <v>0</v>
      </c>
      <c r="CX4" s="52" t="e">
        <f>AND('Ark1'!A63,"AAAAAHffjmU=")</f>
        <v>#VALUE!</v>
      </c>
      <c r="CY4" s="52" t="e">
        <f>AND('Ark1'!B63,"AAAAAHffjmY=")</f>
        <v>#VALUE!</v>
      </c>
      <c r="CZ4" s="52" t="e">
        <f>AND('Ark1'!C63,"AAAAAHffjmc=")</f>
        <v>#VALUE!</v>
      </c>
      <c r="DA4" s="52" t="e">
        <f>AND('Ark1'!D63,"AAAAAHffjmg=")</f>
        <v>#VALUE!</v>
      </c>
      <c r="DB4" s="52" t="e">
        <f>AND('Ark1'!E63,"AAAAAHffjmk=")</f>
        <v>#VALUE!</v>
      </c>
      <c r="DC4" s="52" t="e">
        <f>AND('Ark1'!F63,"AAAAAHffjmo=")</f>
        <v>#VALUE!</v>
      </c>
      <c r="DD4" s="52" t="e">
        <f>AND('Ark1'!G63,"AAAAAHffjms=")</f>
        <v>#VALUE!</v>
      </c>
      <c r="DE4" s="52" t="e">
        <f>AND('Ark1'!H63,"AAAAAHffjmw=")</f>
        <v>#VALUE!</v>
      </c>
      <c r="DF4" s="52" t="e">
        <f>AND('Ark1'!I63,"AAAAAHffjm0=")</f>
        <v>#VALUE!</v>
      </c>
      <c r="DG4" s="52" t="e">
        <f>AND('Ark1'!J63,"AAAAAHffjm4=")</f>
        <v>#VALUE!</v>
      </c>
      <c r="DH4" s="52" t="e">
        <f>AND('Ark1'!K63,"AAAAAHffjm8=")</f>
        <v>#VALUE!</v>
      </c>
      <c r="DI4" s="52" t="e">
        <f>AND('Ark1'!L63,"AAAAAHffjnA=")</f>
        <v>#VALUE!</v>
      </c>
      <c r="DJ4" s="52" t="e">
        <f>AND('Ark1'!M63,"AAAAAHffjnE=")</f>
        <v>#VALUE!</v>
      </c>
      <c r="DK4" s="52">
        <f>IF('Ark1'!64:64,"AAAAAHffjnI=",0)</f>
        <v>0</v>
      </c>
      <c r="DL4" s="52" t="e">
        <f>AND('Ark1'!A64,"AAAAAHffjnM=")</f>
        <v>#VALUE!</v>
      </c>
      <c r="DM4" s="52" t="e">
        <f>AND('Ark1'!B64,"AAAAAHffjnQ=")</f>
        <v>#VALUE!</v>
      </c>
      <c r="DN4" s="52" t="e">
        <f>AND('Ark1'!C64,"AAAAAHffjnU=")</f>
        <v>#VALUE!</v>
      </c>
      <c r="DO4" s="52" t="e">
        <f>AND('Ark1'!D64,"AAAAAHffjnY=")</f>
        <v>#VALUE!</v>
      </c>
      <c r="DP4" s="52" t="e">
        <f>AND('Ark1'!E64,"AAAAAHffjnc=")</f>
        <v>#VALUE!</v>
      </c>
      <c r="DQ4" s="52" t="e">
        <f>AND('Ark1'!F64,"AAAAAHffjng=")</f>
        <v>#VALUE!</v>
      </c>
      <c r="DR4" s="52" t="e">
        <f>AND('Ark1'!G64,"AAAAAHffjnk=")</f>
        <v>#VALUE!</v>
      </c>
      <c r="DS4" s="52" t="e">
        <f>AND('Ark1'!H64,"AAAAAHffjno=")</f>
        <v>#VALUE!</v>
      </c>
      <c r="DT4" s="52" t="e">
        <f>AND('Ark1'!I64,"AAAAAHffjns=")</f>
        <v>#VALUE!</v>
      </c>
      <c r="DU4" s="52" t="e">
        <f>AND('Ark1'!J64,"AAAAAHffjnw=")</f>
        <v>#VALUE!</v>
      </c>
      <c r="DV4" s="52" t="e">
        <f>AND('Ark1'!K64,"AAAAAHffjn0=")</f>
        <v>#VALUE!</v>
      </c>
      <c r="DW4" s="52" t="e">
        <f>AND('Ark1'!L64,"AAAAAHffjn4=")</f>
        <v>#VALUE!</v>
      </c>
      <c r="DX4" s="52" t="e">
        <f>AND('Ark1'!M64,"AAAAAHffjn8=")</f>
        <v>#VALUE!</v>
      </c>
      <c r="DY4" s="52">
        <f>IF('Ark1'!65:65,"AAAAAHffjoA=",0)</f>
        <v>0</v>
      </c>
      <c r="DZ4" s="52" t="e">
        <f>AND('Ark1'!A65,"AAAAAHffjoE=")</f>
        <v>#VALUE!</v>
      </c>
      <c r="EA4" s="52" t="e">
        <f>AND('Ark1'!B65,"AAAAAHffjoI=")</f>
        <v>#VALUE!</v>
      </c>
      <c r="EB4" s="52" t="e">
        <f>AND('Ark1'!C65,"AAAAAHffjoM=")</f>
        <v>#VALUE!</v>
      </c>
      <c r="EC4" s="52" t="e">
        <f>AND('Ark1'!D65,"AAAAAHffjoQ=")</f>
        <v>#VALUE!</v>
      </c>
      <c r="ED4" s="52" t="e">
        <f>AND('Ark1'!E65,"AAAAAHffjoU=")</f>
        <v>#VALUE!</v>
      </c>
      <c r="EE4" s="52" t="e">
        <f>AND('Ark1'!F65,"AAAAAHffjoY=")</f>
        <v>#VALUE!</v>
      </c>
      <c r="EF4" s="52" t="e">
        <f>AND('Ark1'!G65,"AAAAAHffjoc=")</f>
        <v>#VALUE!</v>
      </c>
      <c r="EG4" s="52" t="e">
        <f>AND('Ark1'!H65,"AAAAAHffjog=")</f>
        <v>#VALUE!</v>
      </c>
      <c r="EH4" s="52" t="e">
        <f>AND('Ark1'!I65,"AAAAAHffjok=")</f>
        <v>#VALUE!</v>
      </c>
      <c r="EI4" s="52" t="e">
        <f>AND('Ark1'!J65,"AAAAAHffjoo=")</f>
        <v>#VALUE!</v>
      </c>
      <c r="EJ4" s="52" t="e">
        <f>AND('Ark1'!K65,"AAAAAHffjos=")</f>
        <v>#VALUE!</v>
      </c>
      <c r="EK4" s="52" t="e">
        <f>AND('Ark1'!L65,"AAAAAHffjow=")</f>
        <v>#VALUE!</v>
      </c>
      <c r="EL4" s="52" t="e">
        <f>AND('Ark1'!M65,"AAAAAHffjo0=")</f>
        <v>#VALUE!</v>
      </c>
      <c r="EM4" s="52">
        <f>IF('Ark1'!66:66,"AAAAAHffjo4=",0)</f>
        <v>0</v>
      </c>
      <c r="EN4" s="52" t="e">
        <f>AND('Ark1'!A66,"AAAAAHffjo8=")</f>
        <v>#VALUE!</v>
      </c>
      <c r="EO4" s="52" t="e">
        <f>AND('Ark1'!B66,"AAAAAHffjpA=")</f>
        <v>#VALUE!</v>
      </c>
      <c r="EP4" s="52" t="e">
        <f>AND('Ark1'!C66,"AAAAAHffjpE=")</f>
        <v>#VALUE!</v>
      </c>
      <c r="EQ4" s="52" t="e">
        <f>AND('Ark1'!D66,"AAAAAHffjpI=")</f>
        <v>#VALUE!</v>
      </c>
      <c r="ER4" s="52" t="e">
        <f>AND('Ark1'!E66,"AAAAAHffjpM=")</f>
        <v>#VALUE!</v>
      </c>
      <c r="ES4" s="52" t="e">
        <f>AND('Ark1'!F66,"AAAAAHffjpQ=")</f>
        <v>#VALUE!</v>
      </c>
      <c r="ET4" s="52" t="e">
        <f>AND('Ark1'!G66,"AAAAAHffjpU=")</f>
        <v>#VALUE!</v>
      </c>
      <c r="EU4" s="52" t="e">
        <f>AND('Ark1'!H66,"AAAAAHffjpY=")</f>
        <v>#VALUE!</v>
      </c>
      <c r="EV4" s="52" t="e">
        <f>AND('Ark1'!I66,"AAAAAHffjpc=")</f>
        <v>#VALUE!</v>
      </c>
      <c r="EW4" s="52" t="e">
        <f>AND('Ark1'!J66,"AAAAAHffjpg=")</f>
        <v>#VALUE!</v>
      </c>
      <c r="EX4" s="52" t="e">
        <f>AND('Ark1'!K66,"AAAAAHffjpk=")</f>
        <v>#VALUE!</v>
      </c>
      <c r="EY4" s="52" t="e">
        <f>AND('Ark1'!L66,"AAAAAHffjpo=")</f>
        <v>#VALUE!</v>
      </c>
      <c r="EZ4" s="52" t="e">
        <f>AND('Ark1'!M66,"AAAAAHffjps=")</f>
        <v>#VALUE!</v>
      </c>
      <c r="FA4" s="52">
        <f>IF('Ark1'!67:67,"AAAAAHffjpw=",0)</f>
        <v>0</v>
      </c>
      <c r="FB4" s="52" t="e">
        <f>AND('Ark1'!A67,"AAAAAHffjp0=")</f>
        <v>#VALUE!</v>
      </c>
      <c r="FC4" s="52" t="e">
        <f>AND('Ark1'!B67,"AAAAAHffjp4=")</f>
        <v>#VALUE!</v>
      </c>
      <c r="FD4" s="52" t="e">
        <f>AND('Ark1'!C67,"AAAAAHffjp8=")</f>
        <v>#VALUE!</v>
      </c>
      <c r="FE4" s="52" t="e">
        <f>AND('Ark1'!D67,"AAAAAHffjqA=")</f>
        <v>#VALUE!</v>
      </c>
      <c r="FF4" s="52" t="e">
        <f>AND('Ark1'!E67,"AAAAAHffjqE=")</f>
        <v>#VALUE!</v>
      </c>
      <c r="FG4" s="52" t="e">
        <f>AND('Ark1'!F67,"AAAAAHffjqI=")</f>
        <v>#VALUE!</v>
      </c>
      <c r="FH4" s="52" t="e">
        <f>AND('Ark1'!G67,"AAAAAHffjqM=")</f>
        <v>#VALUE!</v>
      </c>
      <c r="FI4" s="52" t="e">
        <f>AND('Ark1'!H67,"AAAAAHffjqQ=")</f>
        <v>#VALUE!</v>
      </c>
      <c r="FJ4" s="52" t="e">
        <f>AND('Ark1'!I67,"AAAAAHffjqU=")</f>
        <v>#VALUE!</v>
      </c>
      <c r="FK4" s="52" t="e">
        <f>AND('Ark1'!J67,"AAAAAHffjqY=")</f>
        <v>#VALUE!</v>
      </c>
      <c r="FL4" s="52" t="e">
        <f>AND('Ark1'!K67,"AAAAAHffjqc=")</f>
        <v>#VALUE!</v>
      </c>
      <c r="FM4" s="52" t="e">
        <f>AND('Ark1'!L67,"AAAAAHffjqg=")</f>
        <v>#VALUE!</v>
      </c>
      <c r="FN4" s="52" t="e">
        <f>AND('Ark1'!M67,"AAAAAHffjqk=")</f>
        <v>#VALUE!</v>
      </c>
      <c r="FO4" s="52">
        <f>IF('Ark1'!68:68,"AAAAAHffjqo=",0)</f>
        <v>0</v>
      </c>
      <c r="FP4" s="52" t="e">
        <f>AND('Ark1'!A68,"AAAAAHffjqs=")</f>
        <v>#VALUE!</v>
      </c>
      <c r="FQ4" s="52" t="e">
        <f>AND('Ark1'!B68,"AAAAAHffjqw=")</f>
        <v>#VALUE!</v>
      </c>
      <c r="FR4" s="52" t="e">
        <f>AND('Ark1'!C68,"AAAAAHffjq0=")</f>
        <v>#VALUE!</v>
      </c>
      <c r="FS4" s="52" t="e">
        <f>AND('Ark1'!D68,"AAAAAHffjq4=")</f>
        <v>#VALUE!</v>
      </c>
      <c r="FT4" s="52" t="e">
        <f>AND('Ark1'!E68,"AAAAAHffjq8=")</f>
        <v>#VALUE!</v>
      </c>
      <c r="FU4" s="52" t="e">
        <f>AND('Ark1'!F68,"AAAAAHffjrA=")</f>
        <v>#VALUE!</v>
      </c>
      <c r="FV4" s="52" t="e">
        <f>AND('Ark1'!G68,"AAAAAHffjrE=")</f>
        <v>#VALUE!</v>
      </c>
      <c r="FW4" s="52" t="e">
        <f>AND('Ark1'!H68,"AAAAAHffjrI=")</f>
        <v>#VALUE!</v>
      </c>
      <c r="FX4" s="52" t="e">
        <f>AND('Ark1'!I68,"AAAAAHffjrM=")</f>
        <v>#VALUE!</v>
      </c>
      <c r="FY4" s="52" t="e">
        <f>AND('Ark1'!J68,"AAAAAHffjrQ=")</f>
        <v>#VALUE!</v>
      </c>
      <c r="FZ4" s="52" t="e">
        <f>AND('Ark1'!K68,"AAAAAHffjrU=")</f>
        <v>#VALUE!</v>
      </c>
      <c r="GA4" s="52" t="e">
        <f>AND('Ark1'!L68,"AAAAAHffjrY=")</f>
        <v>#VALUE!</v>
      </c>
      <c r="GB4" s="52" t="e">
        <f>AND('Ark1'!M68,"AAAAAHffjrc=")</f>
        <v>#VALUE!</v>
      </c>
      <c r="GC4" s="52">
        <f>IF('Ark1'!69:69,"AAAAAHffjrg=",0)</f>
        <v>0</v>
      </c>
      <c r="GD4" s="52" t="e">
        <f>AND('Ark1'!A69,"AAAAAHffjrk=")</f>
        <v>#VALUE!</v>
      </c>
      <c r="GE4" s="52" t="e">
        <f>AND('Ark1'!B69,"AAAAAHffjro=")</f>
        <v>#VALUE!</v>
      </c>
      <c r="GF4" s="52" t="e">
        <f>AND('Ark1'!C69,"AAAAAHffjrs=")</f>
        <v>#VALUE!</v>
      </c>
      <c r="GG4" s="52" t="e">
        <f>AND('Ark1'!D69,"AAAAAHffjrw=")</f>
        <v>#VALUE!</v>
      </c>
      <c r="GH4" s="52" t="e">
        <f>AND('Ark1'!E69,"AAAAAHffjr0=")</f>
        <v>#VALUE!</v>
      </c>
      <c r="GI4" s="52" t="e">
        <f>AND('Ark1'!F69,"AAAAAHffjr4=")</f>
        <v>#VALUE!</v>
      </c>
      <c r="GJ4" s="52" t="e">
        <f>AND('Ark1'!G69,"AAAAAHffjr8=")</f>
        <v>#VALUE!</v>
      </c>
      <c r="GK4" s="52" t="e">
        <f>AND('Ark1'!H69,"AAAAAHffjsA=")</f>
        <v>#VALUE!</v>
      </c>
      <c r="GL4" s="52" t="e">
        <f>AND('Ark1'!I69,"AAAAAHffjsE=")</f>
        <v>#VALUE!</v>
      </c>
      <c r="GM4" s="52" t="e">
        <f>AND('Ark1'!J69,"AAAAAHffjsI=")</f>
        <v>#VALUE!</v>
      </c>
      <c r="GN4" s="52" t="e">
        <f>AND('Ark1'!K69,"AAAAAHffjsM=")</f>
        <v>#VALUE!</v>
      </c>
      <c r="GO4" s="52" t="e">
        <f>AND('Ark1'!L69,"AAAAAHffjsQ=")</f>
        <v>#VALUE!</v>
      </c>
      <c r="GP4" s="52" t="e">
        <f>AND('Ark1'!M69,"AAAAAHffjsU=")</f>
        <v>#VALUE!</v>
      </c>
      <c r="GQ4" s="52">
        <f>IF('Ark1'!70:70,"AAAAAHffjsY=",0)</f>
        <v>0</v>
      </c>
      <c r="GR4" s="52" t="e">
        <f>AND('Ark1'!A70,"AAAAAHffjsc=")</f>
        <v>#VALUE!</v>
      </c>
      <c r="GS4" s="52" t="e">
        <f>AND('Ark1'!B70,"AAAAAHffjsg=")</f>
        <v>#VALUE!</v>
      </c>
      <c r="GT4" s="52" t="e">
        <f>AND('Ark1'!C70,"AAAAAHffjsk=")</f>
        <v>#VALUE!</v>
      </c>
      <c r="GU4" s="52" t="e">
        <f>AND('Ark1'!D70,"AAAAAHffjso=")</f>
        <v>#VALUE!</v>
      </c>
      <c r="GV4" s="52" t="e">
        <f>AND('Ark1'!E70,"AAAAAHffjss=")</f>
        <v>#VALUE!</v>
      </c>
      <c r="GW4" s="52" t="e">
        <f>AND('Ark1'!F70,"AAAAAHffjsw=")</f>
        <v>#VALUE!</v>
      </c>
      <c r="GX4" s="52" t="e">
        <f>AND('Ark1'!G70,"AAAAAHffjs0=")</f>
        <v>#VALUE!</v>
      </c>
      <c r="GY4" s="52" t="e">
        <f>AND('Ark1'!H70,"AAAAAHffjs4=")</f>
        <v>#VALUE!</v>
      </c>
      <c r="GZ4" s="52" t="e">
        <f>AND('Ark1'!I70,"AAAAAHffjs8=")</f>
        <v>#VALUE!</v>
      </c>
      <c r="HA4" s="52" t="e">
        <f>AND('Ark1'!J70,"AAAAAHffjtA=")</f>
        <v>#VALUE!</v>
      </c>
      <c r="HB4" s="52" t="e">
        <f>AND('Ark1'!K70,"AAAAAHffjtE=")</f>
        <v>#VALUE!</v>
      </c>
      <c r="HC4" s="52" t="e">
        <f>AND('Ark1'!L70,"AAAAAHffjtI=")</f>
        <v>#VALUE!</v>
      </c>
      <c r="HD4" s="52" t="e">
        <f>AND('Ark1'!M70,"AAAAAHffjtM=")</f>
        <v>#VALUE!</v>
      </c>
      <c r="HE4" s="52">
        <f>IF('Ark1'!71:71,"AAAAAHffjtQ=",0)</f>
        <v>0</v>
      </c>
      <c r="HF4" s="52" t="e">
        <f>AND('Ark1'!A71,"AAAAAHffjtU=")</f>
        <v>#VALUE!</v>
      </c>
      <c r="HG4" s="52" t="e">
        <f>AND('Ark1'!B71,"AAAAAHffjtY=")</f>
        <v>#VALUE!</v>
      </c>
      <c r="HH4" s="52" t="e">
        <f>AND('Ark1'!C71,"AAAAAHffjtc=")</f>
        <v>#VALUE!</v>
      </c>
      <c r="HI4" s="52" t="e">
        <f>AND('Ark1'!D71,"AAAAAHffjtg=")</f>
        <v>#VALUE!</v>
      </c>
      <c r="HJ4" s="52" t="e">
        <f>AND('Ark1'!E71,"AAAAAHffjtk=")</f>
        <v>#VALUE!</v>
      </c>
      <c r="HK4" s="52" t="e">
        <f>AND('Ark1'!F71,"AAAAAHffjto=")</f>
        <v>#VALUE!</v>
      </c>
      <c r="HL4" s="52" t="e">
        <f>AND('Ark1'!G71,"AAAAAHffjts=")</f>
        <v>#VALUE!</v>
      </c>
      <c r="HM4" s="52" t="e">
        <f>AND('Ark1'!H71,"AAAAAHffjtw=")</f>
        <v>#VALUE!</v>
      </c>
      <c r="HN4" s="52" t="e">
        <f>AND('Ark1'!I71,"AAAAAHffjt0=")</f>
        <v>#VALUE!</v>
      </c>
      <c r="HO4" s="52" t="e">
        <f>AND('Ark1'!J71,"AAAAAHffjt4=")</f>
        <v>#VALUE!</v>
      </c>
      <c r="HP4" s="52" t="e">
        <f>AND('Ark1'!K71,"AAAAAHffjt8=")</f>
        <v>#VALUE!</v>
      </c>
      <c r="HQ4" s="52" t="e">
        <f>AND('Ark1'!L71,"AAAAAHffjuA=")</f>
        <v>#VALUE!</v>
      </c>
      <c r="HR4" s="52" t="e">
        <f>AND('Ark1'!M71,"AAAAAHffjuE=")</f>
        <v>#VALUE!</v>
      </c>
      <c r="HS4" s="52">
        <f>IF('Ark1'!72:72,"AAAAAHffjuI=",0)</f>
        <v>0</v>
      </c>
      <c r="HT4" s="52" t="e">
        <f>AND('Ark1'!A72,"AAAAAHffjuM=")</f>
        <v>#VALUE!</v>
      </c>
      <c r="HU4" s="52" t="e">
        <f>AND('Ark1'!B72,"AAAAAHffjuQ=")</f>
        <v>#VALUE!</v>
      </c>
      <c r="HV4" s="52" t="e">
        <f>AND('Ark1'!C72,"AAAAAHffjuU=")</f>
        <v>#VALUE!</v>
      </c>
      <c r="HW4" s="52" t="e">
        <f>AND('Ark1'!D72,"AAAAAHffjuY=")</f>
        <v>#VALUE!</v>
      </c>
      <c r="HX4" s="52" t="e">
        <f>AND('Ark1'!E72,"AAAAAHffjuc=")</f>
        <v>#VALUE!</v>
      </c>
      <c r="HY4" s="52" t="e">
        <f>AND('Ark1'!F72,"AAAAAHffjug=")</f>
        <v>#VALUE!</v>
      </c>
      <c r="HZ4" s="52" t="e">
        <f>AND('Ark1'!G72,"AAAAAHffjuk=")</f>
        <v>#VALUE!</v>
      </c>
      <c r="IA4" s="52" t="e">
        <f>AND('Ark1'!H72,"AAAAAHffjuo=")</f>
        <v>#VALUE!</v>
      </c>
      <c r="IB4" s="52" t="e">
        <f>AND('Ark1'!I72,"AAAAAHffjus=")</f>
        <v>#VALUE!</v>
      </c>
      <c r="IC4" s="52" t="e">
        <f>AND('Ark1'!J72,"AAAAAHffjuw=")</f>
        <v>#VALUE!</v>
      </c>
      <c r="ID4" s="52" t="e">
        <f>AND('Ark1'!K72,"AAAAAHffju0=")</f>
        <v>#VALUE!</v>
      </c>
      <c r="IE4" s="52" t="e">
        <f>AND('Ark1'!L72,"AAAAAHffju4=")</f>
        <v>#VALUE!</v>
      </c>
      <c r="IF4" s="52" t="e">
        <f>AND('Ark1'!M72,"AAAAAHffju8=")</f>
        <v>#VALUE!</v>
      </c>
      <c r="IG4" s="52">
        <f>IF('Ark1'!73:73,"AAAAAHffjvA=",0)</f>
        <v>0</v>
      </c>
      <c r="IH4" s="52" t="e">
        <f>AND('Ark1'!A73,"AAAAAHffjvE=")</f>
        <v>#VALUE!</v>
      </c>
      <c r="II4" s="52" t="e">
        <f>AND('Ark1'!B73,"AAAAAHffjvI=")</f>
        <v>#VALUE!</v>
      </c>
      <c r="IJ4" s="52" t="e">
        <f>AND('Ark1'!C73,"AAAAAHffjvM=")</f>
        <v>#VALUE!</v>
      </c>
      <c r="IK4" s="52" t="e">
        <f>AND('Ark1'!D73,"AAAAAHffjvQ=")</f>
        <v>#VALUE!</v>
      </c>
      <c r="IL4" s="52" t="e">
        <f>AND('Ark1'!E73,"AAAAAHffjvU=")</f>
        <v>#VALUE!</v>
      </c>
      <c r="IM4" s="52" t="e">
        <f>AND('Ark1'!F73,"AAAAAHffjvY=")</f>
        <v>#VALUE!</v>
      </c>
      <c r="IN4" s="52" t="e">
        <f>AND('Ark1'!G73,"AAAAAHffjvc=")</f>
        <v>#VALUE!</v>
      </c>
      <c r="IO4" s="52" t="e">
        <f>AND('Ark1'!H73,"AAAAAHffjvg=")</f>
        <v>#VALUE!</v>
      </c>
      <c r="IP4" s="52" t="e">
        <f>AND('Ark1'!I73,"AAAAAHffjvk=")</f>
        <v>#VALUE!</v>
      </c>
      <c r="IQ4" s="52" t="e">
        <f>AND('Ark1'!J73,"AAAAAHffjvo=")</f>
        <v>#VALUE!</v>
      </c>
      <c r="IR4" s="52" t="e">
        <f>AND('Ark1'!K73,"AAAAAHffjvs=")</f>
        <v>#VALUE!</v>
      </c>
      <c r="IS4" s="52" t="e">
        <f>AND('Ark1'!L73,"AAAAAHffjvw=")</f>
        <v>#VALUE!</v>
      </c>
      <c r="IT4" s="52" t="e">
        <f>AND('Ark1'!M73,"AAAAAHffjv0=")</f>
        <v>#VALUE!</v>
      </c>
      <c r="IU4" s="52">
        <f>IF('Ark1'!74:74,"AAAAAHffjv4=",0)</f>
        <v>0</v>
      </c>
      <c r="IV4" s="52" t="e">
        <f>AND('Ark1'!A74,"AAAAAHffjv8=")</f>
        <v>#VALUE!</v>
      </c>
    </row>
    <row r="5" spans="1:256" ht="13.5" customHeight="1" x14ac:dyDescent="0.2">
      <c r="A5" s="52" t="e">
        <f>AND('Ark1'!B74,"AAAAAHlvfgA=")</f>
        <v>#VALUE!</v>
      </c>
      <c r="B5" s="52" t="e">
        <f>AND('Ark1'!C74,"AAAAAHlvfgE=")</f>
        <v>#VALUE!</v>
      </c>
      <c r="C5" s="52" t="e">
        <f>AND('Ark1'!D74,"AAAAAHlvfgI=")</f>
        <v>#VALUE!</v>
      </c>
      <c r="D5" s="52" t="e">
        <f>AND('Ark1'!E74,"AAAAAHlvfgM=")</f>
        <v>#VALUE!</v>
      </c>
      <c r="E5" s="52" t="e">
        <f>AND('Ark1'!F74,"AAAAAHlvfgQ=")</f>
        <v>#VALUE!</v>
      </c>
      <c r="F5" s="52" t="e">
        <f>AND('Ark1'!G74,"AAAAAHlvfgU=")</f>
        <v>#VALUE!</v>
      </c>
      <c r="G5" s="52" t="e">
        <f>AND('Ark1'!H74,"AAAAAHlvfgY=")</f>
        <v>#VALUE!</v>
      </c>
      <c r="H5" s="52" t="e">
        <f>AND('Ark1'!I74,"AAAAAHlvfgc=")</f>
        <v>#VALUE!</v>
      </c>
      <c r="I5" s="52" t="e">
        <f>AND('Ark1'!J74,"AAAAAHlvfgg=")</f>
        <v>#VALUE!</v>
      </c>
      <c r="J5" s="52" t="e">
        <f>AND('Ark1'!K74,"AAAAAHlvfgk=")</f>
        <v>#VALUE!</v>
      </c>
      <c r="K5" s="52" t="e">
        <f>AND('Ark1'!L74,"AAAAAHlvfgo=")</f>
        <v>#VALUE!</v>
      </c>
      <c r="L5" s="52" t="e">
        <f>AND('Ark1'!M74,"AAAAAHlvfgs=")</f>
        <v>#VALUE!</v>
      </c>
      <c r="M5" s="52">
        <f>IF('Ark1'!75:75,"AAAAAHlvfgw=",0)</f>
        <v>0</v>
      </c>
      <c r="N5" s="52" t="e">
        <f>AND('Ark1'!A75,"AAAAAHlvfg0=")</f>
        <v>#VALUE!</v>
      </c>
      <c r="O5" s="52" t="e">
        <f>AND('Ark1'!B75,"AAAAAHlvfg4=")</f>
        <v>#VALUE!</v>
      </c>
      <c r="P5" s="52" t="e">
        <f>AND('Ark1'!C75,"AAAAAHlvfg8=")</f>
        <v>#VALUE!</v>
      </c>
      <c r="Q5" s="52" t="e">
        <f>AND('Ark1'!D75,"AAAAAHlvfhA=")</f>
        <v>#VALUE!</v>
      </c>
      <c r="R5" s="52" t="e">
        <f>AND('Ark1'!E75,"AAAAAHlvfhE=")</f>
        <v>#VALUE!</v>
      </c>
      <c r="S5" s="52" t="e">
        <f>AND('Ark1'!F75,"AAAAAHlvfhI=")</f>
        <v>#VALUE!</v>
      </c>
      <c r="T5" s="52" t="e">
        <f>AND('Ark1'!G75,"AAAAAHlvfhM=")</f>
        <v>#VALUE!</v>
      </c>
      <c r="U5" s="52" t="e">
        <f>AND('Ark1'!H75,"AAAAAHlvfhQ=")</f>
        <v>#VALUE!</v>
      </c>
      <c r="V5" s="52" t="e">
        <f>AND('Ark1'!I75,"AAAAAHlvfhU=")</f>
        <v>#VALUE!</v>
      </c>
      <c r="W5" s="52" t="e">
        <f>AND('Ark1'!J75,"AAAAAHlvfhY=")</f>
        <v>#VALUE!</v>
      </c>
      <c r="X5" s="52" t="e">
        <f>AND('Ark1'!K75,"AAAAAHlvfhc=")</f>
        <v>#VALUE!</v>
      </c>
      <c r="Y5" s="52" t="e">
        <f>AND('Ark1'!L75,"AAAAAHlvfhg=")</f>
        <v>#VALUE!</v>
      </c>
      <c r="Z5" s="52" t="e">
        <f>AND('Ark1'!M75,"AAAAAHlvfhk=")</f>
        <v>#VALUE!</v>
      </c>
      <c r="AA5" s="52">
        <f>IF('Ark1'!76:76,"AAAAAHlvfho=",0)</f>
        <v>0</v>
      </c>
      <c r="AB5" s="52" t="e">
        <f>AND('Ark1'!A76,"AAAAAHlvfhs=")</f>
        <v>#VALUE!</v>
      </c>
      <c r="AC5" s="52" t="e">
        <f>AND('Ark1'!B76,"AAAAAHlvfhw=")</f>
        <v>#VALUE!</v>
      </c>
      <c r="AD5" s="52" t="e">
        <f>AND('Ark1'!C76,"AAAAAHlvfh0=")</f>
        <v>#VALUE!</v>
      </c>
      <c r="AE5" s="52" t="e">
        <f>AND('Ark1'!D76,"AAAAAHlvfh4=")</f>
        <v>#VALUE!</v>
      </c>
      <c r="AF5" s="52" t="e">
        <f>AND('Ark1'!E76,"AAAAAHlvfh8=")</f>
        <v>#VALUE!</v>
      </c>
      <c r="AG5" s="52" t="e">
        <f>AND('Ark1'!F76,"AAAAAHlvfiA=")</f>
        <v>#VALUE!</v>
      </c>
      <c r="AH5" s="52" t="e">
        <f>AND('Ark1'!G76,"AAAAAHlvfiE=")</f>
        <v>#VALUE!</v>
      </c>
      <c r="AI5" s="52" t="e">
        <f>AND('Ark1'!H76,"AAAAAHlvfiI=")</f>
        <v>#VALUE!</v>
      </c>
      <c r="AJ5" s="52" t="e">
        <f>AND('Ark1'!I76,"AAAAAHlvfiM=")</f>
        <v>#VALUE!</v>
      </c>
      <c r="AK5" s="52" t="e">
        <f>AND('Ark1'!J76,"AAAAAHlvfiQ=")</f>
        <v>#VALUE!</v>
      </c>
      <c r="AL5" s="52" t="b">
        <f>AND('Ark1'!K76,"AAAAAHlvfiU=")</f>
        <v>1</v>
      </c>
      <c r="AM5" s="52" t="e">
        <f>AND('Ark1'!L76,"AAAAAHlvfiY=")</f>
        <v>#VALUE!</v>
      </c>
      <c r="AN5" s="52" t="e">
        <f>AND('Ark1'!M76,"AAAAAHlvfic=")</f>
        <v>#VALUE!</v>
      </c>
      <c r="AO5" s="52">
        <f>IF('Ark1'!77:77,"AAAAAHlvfig=",0)</f>
        <v>0</v>
      </c>
      <c r="AP5" s="52" t="e">
        <f>AND('Ark1'!A77,"AAAAAHlvfik=")</f>
        <v>#VALUE!</v>
      </c>
      <c r="AQ5" s="52" t="e">
        <f>AND('Ark1'!B77,"AAAAAHlvfio=")</f>
        <v>#VALUE!</v>
      </c>
      <c r="AR5" s="52" t="e">
        <f>AND('Ark1'!C77,"AAAAAHlvfis=")</f>
        <v>#VALUE!</v>
      </c>
      <c r="AS5" s="52" t="e">
        <f>AND('Ark1'!D77,"AAAAAHlvfiw=")</f>
        <v>#VALUE!</v>
      </c>
      <c r="AT5" s="52" t="e">
        <f>AND('Ark1'!E77,"AAAAAHlvfi0=")</f>
        <v>#VALUE!</v>
      </c>
      <c r="AU5" s="52" t="e">
        <f>AND('Ark1'!F77,"AAAAAHlvfi4=")</f>
        <v>#VALUE!</v>
      </c>
      <c r="AV5" s="52" t="e">
        <f>AND('Ark1'!G77,"AAAAAHlvfi8=")</f>
        <v>#VALUE!</v>
      </c>
      <c r="AW5" s="52" t="e">
        <f>AND('Ark1'!H77,"AAAAAHlvfjA=")</f>
        <v>#VALUE!</v>
      </c>
      <c r="AX5" s="52" t="e">
        <f>AND('Ark1'!I77,"AAAAAHlvfjE=")</f>
        <v>#VALUE!</v>
      </c>
      <c r="AY5" s="52" t="e">
        <f>AND('Ark1'!J77,"AAAAAHlvfjI=")</f>
        <v>#VALUE!</v>
      </c>
      <c r="AZ5" s="52" t="e">
        <f>AND('Ark1'!K77,"AAAAAHlvfjM=")</f>
        <v>#VALUE!</v>
      </c>
      <c r="BA5" s="52" t="e">
        <f>AND('Ark1'!L77,"AAAAAHlvfjQ=")</f>
        <v>#VALUE!</v>
      </c>
      <c r="BB5" s="52" t="e">
        <f>AND('Ark1'!M77,"AAAAAHlvfjU=")</f>
        <v>#VALUE!</v>
      </c>
      <c r="BC5" s="52">
        <f>IF('Ark1'!78:78,"AAAAAHlvfjY=",0)</f>
        <v>0</v>
      </c>
      <c r="BD5" s="52" t="e">
        <f>AND('Ark1'!A78,"AAAAAHlvfjc=")</f>
        <v>#VALUE!</v>
      </c>
      <c r="BE5" s="52" t="e">
        <f>AND('Ark1'!B78,"AAAAAHlvfjg=")</f>
        <v>#VALUE!</v>
      </c>
      <c r="BF5" s="52" t="e">
        <f>AND('Ark1'!C78,"AAAAAHlvfjk=")</f>
        <v>#VALUE!</v>
      </c>
      <c r="BG5" s="52" t="e">
        <f>AND('Ark1'!D78,"AAAAAHlvfjo=")</f>
        <v>#VALUE!</v>
      </c>
      <c r="BH5" s="52" t="e">
        <f>AND('Ark1'!E78,"AAAAAHlvfjs=")</f>
        <v>#VALUE!</v>
      </c>
      <c r="BI5" s="52" t="e">
        <f>AND('Ark1'!F78,"AAAAAHlvfjw=")</f>
        <v>#VALUE!</v>
      </c>
      <c r="BJ5" s="52" t="e">
        <f>AND('Ark1'!G78,"AAAAAHlvfj0=")</f>
        <v>#VALUE!</v>
      </c>
      <c r="BK5" s="52" t="e">
        <f>AND('Ark1'!H78,"AAAAAHlvfj4=")</f>
        <v>#VALUE!</v>
      </c>
      <c r="BL5" s="52" t="e">
        <f>AND('Ark1'!I78,"AAAAAHlvfj8=")</f>
        <v>#VALUE!</v>
      </c>
      <c r="BM5" s="52" t="e">
        <f>AND('Ark1'!J78,"AAAAAHlvfkA=")</f>
        <v>#VALUE!</v>
      </c>
      <c r="BN5" s="52" t="b">
        <f>AND('Ark1'!K78,"AAAAAHlvfkE=")</f>
        <v>1</v>
      </c>
      <c r="BO5" s="52" t="e">
        <f>AND('Ark1'!L78,"AAAAAHlvfkI=")</f>
        <v>#VALUE!</v>
      </c>
      <c r="BP5" s="52" t="e">
        <f>AND('Ark1'!M78,"AAAAAHlvfkM=")</f>
        <v>#VALUE!</v>
      </c>
      <c r="BQ5" s="52">
        <f>IF('Ark1'!79:79,"AAAAAHlvfkQ=",0)</f>
        <v>0</v>
      </c>
      <c r="BR5" s="52" t="e">
        <f>AND('Ark1'!A79,"AAAAAHlvfkU=")</f>
        <v>#VALUE!</v>
      </c>
      <c r="BS5" s="52" t="e">
        <f>AND('Ark1'!B79,"AAAAAHlvfkY=")</f>
        <v>#VALUE!</v>
      </c>
      <c r="BT5" s="52" t="e">
        <f>AND('Ark1'!C79,"AAAAAHlvfkc=")</f>
        <v>#VALUE!</v>
      </c>
      <c r="BU5" s="52" t="e">
        <f>AND('Ark1'!D79,"AAAAAHlvfkg=")</f>
        <v>#VALUE!</v>
      </c>
      <c r="BV5" s="52" t="e">
        <f>AND('Ark1'!E79,"AAAAAHlvfkk=")</f>
        <v>#VALUE!</v>
      </c>
      <c r="BW5" s="52" t="e">
        <f>AND('Ark1'!F79,"AAAAAHlvfko=")</f>
        <v>#VALUE!</v>
      </c>
      <c r="BX5" s="52" t="e">
        <f>AND('Ark1'!G79,"AAAAAHlvfks=")</f>
        <v>#VALUE!</v>
      </c>
      <c r="BY5" s="52" t="e">
        <f>AND('Ark1'!H79,"AAAAAHlvfkw=")</f>
        <v>#VALUE!</v>
      </c>
      <c r="BZ5" s="52" t="e">
        <f>AND('Ark1'!I79,"AAAAAHlvfk0=")</f>
        <v>#VALUE!</v>
      </c>
      <c r="CA5" s="52" t="e">
        <f>AND('Ark1'!J79,"AAAAAHlvfk4=")</f>
        <v>#VALUE!</v>
      </c>
      <c r="CB5" s="52" t="e">
        <f>AND('Ark1'!K79,"AAAAAHlvfk8=")</f>
        <v>#VALUE!</v>
      </c>
      <c r="CC5" s="52" t="e">
        <f>AND('Ark1'!L79,"AAAAAHlvflA=")</f>
        <v>#VALUE!</v>
      </c>
      <c r="CD5" s="52" t="e">
        <f>AND('Ark1'!M79,"AAAAAHlvflE=")</f>
        <v>#VALUE!</v>
      </c>
      <c r="CE5" s="52">
        <f>IF('Ark1'!80:80,"AAAAAHlvflI=",0)</f>
        <v>0</v>
      </c>
      <c r="CF5" s="52" t="e">
        <f>AND('Ark1'!A80,"AAAAAHlvflM=")</f>
        <v>#VALUE!</v>
      </c>
      <c r="CG5" s="52" t="e">
        <f>AND('Ark1'!B80,"AAAAAHlvflQ=")</f>
        <v>#VALUE!</v>
      </c>
      <c r="CH5" s="52" t="e">
        <f>AND('Ark1'!C80,"AAAAAHlvflU=")</f>
        <v>#VALUE!</v>
      </c>
      <c r="CI5" s="52" t="e">
        <f>AND('Ark1'!D80,"AAAAAHlvflY=")</f>
        <v>#VALUE!</v>
      </c>
      <c r="CJ5" s="52" t="e">
        <f>AND('Ark1'!E80,"AAAAAHlvflc=")</f>
        <v>#VALUE!</v>
      </c>
      <c r="CK5" s="52" t="e">
        <f>AND('Ark1'!F80,"AAAAAHlvflg=")</f>
        <v>#VALUE!</v>
      </c>
      <c r="CL5" s="52" t="e">
        <f>AND('Ark1'!G80,"AAAAAHlvflk=")</f>
        <v>#VALUE!</v>
      </c>
      <c r="CM5" s="52" t="e">
        <f>AND('Ark1'!H80,"AAAAAHlvflo=")</f>
        <v>#VALUE!</v>
      </c>
      <c r="CN5" s="52" t="e">
        <f>AND('Ark1'!I80,"AAAAAHlvfls=")</f>
        <v>#VALUE!</v>
      </c>
      <c r="CO5" s="52" t="e">
        <f>AND('Ark1'!J80,"AAAAAHlvflw=")</f>
        <v>#VALUE!</v>
      </c>
      <c r="CP5" s="52" t="b">
        <f>AND('Ark1'!K80,"AAAAAHlvfl0=")</f>
        <v>1</v>
      </c>
      <c r="CQ5" s="52" t="e">
        <f>AND('Ark1'!L80,"AAAAAHlvfl4=")</f>
        <v>#VALUE!</v>
      </c>
      <c r="CR5" s="52" t="e">
        <f>AND('Ark1'!M80,"AAAAAHlvfl8=")</f>
        <v>#VALUE!</v>
      </c>
      <c r="CS5" s="52">
        <f>IF('Ark1'!81:81,"AAAAAHlvfmA=",0)</f>
        <v>0</v>
      </c>
      <c r="CT5" s="52" t="e">
        <f>AND('Ark1'!A81,"AAAAAHlvfmE=")</f>
        <v>#VALUE!</v>
      </c>
      <c r="CU5" s="52" t="e">
        <f>AND('Ark1'!B81,"AAAAAHlvfmI=")</f>
        <v>#VALUE!</v>
      </c>
      <c r="CV5" s="52" t="e">
        <f>AND('Ark1'!C81,"AAAAAHlvfmM=")</f>
        <v>#VALUE!</v>
      </c>
      <c r="CW5" s="52" t="e">
        <f>AND('Ark1'!D81,"AAAAAHlvfmQ=")</f>
        <v>#VALUE!</v>
      </c>
      <c r="CX5" s="52" t="e">
        <f>AND('Ark1'!E81,"AAAAAHlvfmU=")</f>
        <v>#VALUE!</v>
      </c>
      <c r="CY5" s="52" t="e">
        <f>AND('Ark1'!F81,"AAAAAHlvfmY=")</f>
        <v>#VALUE!</v>
      </c>
      <c r="CZ5" s="52" t="e">
        <f>AND('Ark1'!G81,"AAAAAHlvfmc=")</f>
        <v>#VALUE!</v>
      </c>
      <c r="DA5" s="52" t="e">
        <f>AND('Ark1'!H81,"AAAAAHlvfmg=")</f>
        <v>#VALUE!</v>
      </c>
      <c r="DB5" s="52" t="e">
        <f>AND('Ark1'!I81,"AAAAAHlvfmk=")</f>
        <v>#VALUE!</v>
      </c>
      <c r="DC5" s="52" t="e">
        <f>AND('Ark1'!J81,"AAAAAHlvfmo=")</f>
        <v>#VALUE!</v>
      </c>
      <c r="DD5" s="52" t="e">
        <f>AND('Ark1'!K81,"AAAAAHlvfms=")</f>
        <v>#VALUE!</v>
      </c>
      <c r="DE5" s="52" t="e">
        <f>AND('Ark1'!L81,"AAAAAHlvfmw=")</f>
        <v>#VALUE!</v>
      </c>
      <c r="DF5" s="52" t="e">
        <f>AND('Ark1'!M81,"AAAAAHlvfm0=")</f>
        <v>#VALUE!</v>
      </c>
      <c r="DG5" s="52">
        <f>IF('Ark1'!82:82,"AAAAAHlvfm4=",0)</f>
        <v>0</v>
      </c>
      <c r="DH5" s="52" t="e">
        <f>AND('Ark1'!A82,"AAAAAHlvfm8=")</f>
        <v>#VALUE!</v>
      </c>
      <c r="DI5" s="52" t="e">
        <f>AND('Ark1'!B82,"AAAAAHlvfnA=")</f>
        <v>#VALUE!</v>
      </c>
      <c r="DJ5" s="52" t="e">
        <f>AND('Ark1'!C82,"AAAAAHlvfnE=")</f>
        <v>#VALUE!</v>
      </c>
      <c r="DK5" s="52" t="e">
        <f>AND('Ark1'!D82,"AAAAAHlvfnI=")</f>
        <v>#VALUE!</v>
      </c>
      <c r="DL5" s="52" t="e">
        <f>AND('Ark1'!E82,"AAAAAHlvfnM=")</f>
        <v>#VALUE!</v>
      </c>
      <c r="DM5" s="52" t="e">
        <f>AND('Ark1'!F82,"AAAAAHlvfnQ=")</f>
        <v>#VALUE!</v>
      </c>
      <c r="DN5" s="52" t="e">
        <f>AND('Ark1'!G82,"AAAAAHlvfnU=")</f>
        <v>#VALUE!</v>
      </c>
      <c r="DO5" s="52" t="e">
        <f>AND('Ark1'!H82,"AAAAAHlvfnY=")</f>
        <v>#VALUE!</v>
      </c>
      <c r="DP5" s="52" t="e">
        <f>AND('Ark1'!I82,"AAAAAHlvfnc=")</f>
        <v>#VALUE!</v>
      </c>
      <c r="DQ5" s="52" t="e">
        <f>AND('Ark1'!J82,"AAAAAHlvfng=")</f>
        <v>#VALUE!</v>
      </c>
      <c r="DR5" s="52" t="e">
        <f>AND('Ark1'!K82,"AAAAAHlvfnk=")</f>
        <v>#VALUE!</v>
      </c>
      <c r="DS5" s="52" t="e">
        <f>AND('Ark1'!L82,"AAAAAHlvfno=")</f>
        <v>#VALUE!</v>
      </c>
      <c r="DT5" s="52" t="e">
        <f>AND('Ark1'!M82,"AAAAAHlvfns=")</f>
        <v>#VALUE!</v>
      </c>
      <c r="DU5" s="52">
        <f>IF('Ark1'!83:83,"AAAAAHlvfnw=",0)</f>
        <v>0</v>
      </c>
      <c r="DV5" s="52" t="e">
        <f>AND('Ark1'!A83,"AAAAAHlvfn0=")</f>
        <v>#VALUE!</v>
      </c>
      <c r="DW5" s="52" t="e">
        <f>AND('Ark1'!B83,"AAAAAHlvfn4=")</f>
        <v>#VALUE!</v>
      </c>
      <c r="DX5" s="52" t="e">
        <f>AND('Ark1'!C83,"AAAAAHlvfn8=")</f>
        <v>#VALUE!</v>
      </c>
      <c r="DY5" s="52" t="e">
        <f>AND('Ark1'!D83,"AAAAAHlvfoA=")</f>
        <v>#VALUE!</v>
      </c>
      <c r="DZ5" s="52" t="e">
        <f>AND('Ark1'!E83,"AAAAAHlvfoE=")</f>
        <v>#VALUE!</v>
      </c>
      <c r="EA5" s="52" t="e">
        <f>AND('Ark1'!F83,"AAAAAHlvfoI=")</f>
        <v>#VALUE!</v>
      </c>
      <c r="EB5" s="52" t="e">
        <f>AND('Ark1'!G83,"AAAAAHlvfoM=")</f>
        <v>#VALUE!</v>
      </c>
      <c r="EC5" s="52" t="e">
        <f>AND('Ark1'!H83,"AAAAAHlvfoQ=")</f>
        <v>#VALUE!</v>
      </c>
      <c r="ED5" s="52" t="e">
        <f>AND('Ark1'!I83,"AAAAAHlvfoU=")</f>
        <v>#VALUE!</v>
      </c>
      <c r="EE5" s="52" t="e">
        <f>AND('Ark1'!J83,"AAAAAHlvfoY=")</f>
        <v>#VALUE!</v>
      </c>
      <c r="EF5" s="52" t="e">
        <f>AND('Ark1'!K83,"AAAAAHlvfoc=")</f>
        <v>#VALUE!</v>
      </c>
      <c r="EG5" s="52" t="e">
        <f>AND('Ark1'!L83,"AAAAAHlvfog=")</f>
        <v>#VALUE!</v>
      </c>
      <c r="EH5" s="52" t="e">
        <f>AND('Ark1'!M83,"AAAAAHlvfok=")</f>
        <v>#VALUE!</v>
      </c>
      <c r="EI5" s="52">
        <f>IF('Ark1'!84:84,"AAAAAHlvfoo=",0)</f>
        <v>0</v>
      </c>
      <c r="EJ5" s="52" t="e">
        <f>AND('Ark1'!A84,"AAAAAHlvfos=")</f>
        <v>#VALUE!</v>
      </c>
      <c r="EK5" s="52" t="e">
        <f>AND('Ark1'!B84,"AAAAAHlvfow=")</f>
        <v>#VALUE!</v>
      </c>
      <c r="EL5" s="52" t="e">
        <f>AND('Ark1'!C84,"AAAAAHlvfo0=")</f>
        <v>#VALUE!</v>
      </c>
      <c r="EM5" s="52" t="e">
        <f>AND('Ark1'!D84,"AAAAAHlvfo4=")</f>
        <v>#VALUE!</v>
      </c>
      <c r="EN5" s="52" t="e">
        <f>AND('Ark1'!E84,"AAAAAHlvfo8=")</f>
        <v>#VALUE!</v>
      </c>
      <c r="EO5" s="52" t="e">
        <f>AND('Ark1'!F84,"AAAAAHlvfpA=")</f>
        <v>#VALUE!</v>
      </c>
      <c r="EP5" s="52" t="e">
        <f>AND('Ark1'!G84,"AAAAAHlvfpE=")</f>
        <v>#VALUE!</v>
      </c>
      <c r="EQ5" s="52" t="e">
        <f>AND('Ark1'!H84,"AAAAAHlvfpI=")</f>
        <v>#VALUE!</v>
      </c>
      <c r="ER5" s="52" t="e">
        <f>AND('Ark1'!I84,"AAAAAHlvfpM=")</f>
        <v>#VALUE!</v>
      </c>
      <c r="ES5" s="52" t="e">
        <f>AND('Ark1'!J84,"AAAAAHlvfpQ=")</f>
        <v>#VALUE!</v>
      </c>
      <c r="ET5" s="52" t="e">
        <f>AND('Ark1'!K84,"AAAAAHlvfpU=")</f>
        <v>#VALUE!</v>
      </c>
      <c r="EU5" s="52" t="e">
        <f>AND('Ark1'!L84,"AAAAAHlvfpY=")</f>
        <v>#VALUE!</v>
      </c>
      <c r="EV5" s="52" t="e">
        <f>AND('Ark1'!M84,"AAAAAHlvfpc=")</f>
        <v>#VALUE!</v>
      </c>
      <c r="EW5" s="52">
        <f>IF('Ark1'!85:85,"AAAAAHlvfpg=",0)</f>
        <v>0</v>
      </c>
      <c r="EX5" s="52" t="e">
        <f>AND('Ark1'!A85,"AAAAAHlvfpk=")</f>
        <v>#VALUE!</v>
      </c>
      <c r="EY5" s="52" t="e">
        <f>AND('Ark1'!B85,"AAAAAHlvfpo=")</f>
        <v>#VALUE!</v>
      </c>
      <c r="EZ5" s="52" t="e">
        <f>AND('Ark1'!C85,"AAAAAHlvfps=")</f>
        <v>#VALUE!</v>
      </c>
      <c r="FA5" s="52" t="e">
        <f>AND('Ark1'!D85,"AAAAAHlvfpw=")</f>
        <v>#VALUE!</v>
      </c>
      <c r="FB5" s="52" t="e">
        <f>AND('Ark1'!E85,"AAAAAHlvfp0=")</f>
        <v>#VALUE!</v>
      </c>
      <c r="FC5" s="52" t="e">
        <f>AND('Ark1'!F85,"AAAAAHlvfp4=")</f>
        <v>#VALUE!</v>
      </c>
      <c r="FD5" s="52" t="e">
        <f>AND('Ark1'!G85,"AAAAAHlvfp8=")</f>
        <v>#VALUE!</v>
      </c>
      <c r="FE5" s="52" t="e">
        <f>AND('Ark1'!H85,"AAAAAHlvfqA=")</f>
        <v>#VALUE!</v>
      </c>
      <c r="FF5" s="52" t="e">
        <f>AND('Ark1'!I85,"AAAAAHlvfqE=")</f>
        <v>#VALUE!</v>
      </c>
      <c r="FG5" s="52" t="e">
        <f>AND('Ark1'!J85,"AAAAAHlvfqI=")</f>
        <v>#VALUE!</v>
      </c>
      <c r="FH5" s="52" t="e">
        <f>AND('Ark1'!K85,"AAAAAHlvfqM=")</f>
        <v>#VALUE!</v>
      </c>
      <c r="FI5" s="52" t="e">
        <f>AND('Ark1'!L85,"AAAAAHlvfqQ=")</f>
        <v>#VALUE!</v>
      </c>
      <c r="FJ5" s="52" t="e">
        <f>AND('Ark1'!M85,"AAAAAHlvfqU=")</f>
        <v>#VALUE!</v>
      </c>
      <c r="FK5" s="52">
        <f>IF('Ark1'!86:86,"AAAAAHlvfqY=",0)</f>
        <v>0</v>
      </c>
      <c r="FL5" s="52">
        <f>IF('Ark1'!87:87,"AAAAAHlvfqc=",0)</f>
        <v>0</v>
      </c>
      <c r="FM5" s="52">
        <f>IF('Ark1'!88:88,"AAAAAHlvfqg=",0)</f>
        <v>0</v>
      </c>
      <c r="FN5" s="52">
        <f>IF('Ark1'!89:89,"AAAAAHlvfqk=",0)</f>
        <v>0</v>
      </c>
      <c r="FO5" s="52">
        <f>IF('Ark1'!90:90,"AAAAAHlvfqo=",0)</f>
        <v>0</v>
      </c>
      <c r="FP5" s="52">
        <f>IF('Ark1'!A:A,"AAAAAHlvfqs=",0)</f>
        <v>0</v>
      </c>
      <c r="FQ5" s="52">
        <f>IF('Ark1'!B:B,"AAAAAHlvfqw=",0)</f>
        <v>0</v>
      </c>
      <c r="FR5" s="52">
        <f>IF('Ark1'!C:C,"AAAAAHlvfq0=",0)</f>
        <v>0</v>
      </c>
      <c r="FS5" s="52">
        <f>IF('Ark1'!D:D,"AAAAAHlvfq4=",0)</f>
        <v>0</v>
      </c>
      <c r="FT5" s="52">
        <f>IF('Ark1'!E:E,"AAAAAHlvfq8=",0)</f>
        <v>0</v>
      </c>
      <c r="FU5" s="52">
        <f>IF('Ark1'!F:F,"AAAAAHlvfrA=",0)</f>
        <v>0</v>
      </c>
      <c r="FV5" s="52">
        <f>IF('Ark1'!G:G,"AAAAAHlvfrE=",0)</f>
        <v>0</v>
      </c>
      <c r="FW5" s="52">
        <f>IF('Ark1'!H:H,"AAAAAHlvfrI=",0)</f>
        <v>0</v>
      </c>
      <c r="FX5" s="52" t="e">
        <f>IF('Ark1'!I:I,"AAAAAHlvfrM=",0)</f>
        <v>#VALUE!</v>
      </c>
      <c r="FY5" s="52">
        <f>IF('Ark1'!J:J,"AAAAAHlvfrQ=",0)</f>
        <v>0</v>
      </c>
      <c r="FZ5" s="52">
        <f>IF('Ark1'!K:K,"AAAAAHlvfrU=",0)</f>
        <v>0</v>
      </c>
      <c r="GA5" s="52">
        <f>IF('Ark1'!L:L,"AAAAAHlvfrY=",0)</f>
        <v>0</v>
      </c>
      <c r="GB5" s="52">
        <f>IF('Ark1'!M:M,"AAAAAHlvfrc=",0)</f>
        <v>0</v>
      </c>
      <c r="GC5" s="52">
        <f>IF('Ark2'!1:1,"AAAAAHlvfrg=",0)</f>
        <v>0</v>
      </c>
      <c r="GD5" s="52" t="e">
        <f>AND('Ark2'!A1,"AAAAAHlvfrk=")</f>
        <v>#VALUE!</v>
      </c>
      <c r="GE5" s="52">
        <f>IF('Ark2'!A:A,"AAAAAHlvfro=",0)</f>
        <v>0</v>
      </c>
      <c r="GF5" s="52">
        <f>IF('Ark3'!1:1,"AAAAAHlvfrs=",0)</f>
        <v>0</v>
      </c>
      <c r="GG5" s="52" t="e">
        <f>AND('Ark3'!A1,"AAAAAHlvfrw=")</f>
        <v>#VALUE!</v>
      </c>
      <c r="GH5" s="52">
        <f>IF('Ark3'!A:A,"AAAAAHlvfr0=",0)</f>
        <v>0</v>
      </c>
      <c r="GI5" s="52" t="s">
        <v>61</v>
      </c>
    </row>
    <row r="6" spans="1:256" ht="13.5" customHeight="1" x14ac:dyDescent="0.15"/>
    <row r="7" spans="1:256" ht="13.5" customHeight="1" x14ac:dyDescent="0.15"/>
    <row r="8" spans="1:256" ht="13.5" customHeight="1" x14ac:dyDescent="0.15"/>
    <row r="9" spans="1:256" ht="13.5" customHeight="1" x14ac:dyDescent="0.15"/>
    <row r="10" spans="1:256" ht="13.5" customHeight="1" x14ac:dyDescent="0.15"/>
    <row r="11" spans="1:256" ht="13.5" customHeight="1" x14ac:dyDescent="0.15"/>
    <row r="12" spans="1:256" ht="13.5" customHeight="1" x14ac:dyDescent="0.15"/>
    <row r="13" spans="1:256" ht="13.5" customHeight="1" x14ac:dyDescent="0.15"/>
    <row r="14" spans="1:256" ht="13.5" customHeight="1" x14ac:dyDescent="0.15"/>
    <row r="15" spans="1:256" ht="13.5" customHeight="1" x14ac:dyDescent="0.15"/>
    <row r="16" spans="1:256" ht="13.5" customHeight="1" x14ac:dyDescent="0.15"/>
    <row r="17" ht="13.5" customHeight="1" x14ac:dyDescent="0.15"/>
    <row r="18" ht="13.5" customHeight="1" x14ac:dyDescent="0.15"/>
    <row r="19" ht="13.5" customHeight="1" x14ac:dyDescent="0.15"/>
    <row r="20" ht="13.5" customHeight="1" x14ac:dyDescent="0.15"/>
    <row r="21" ht="13.5" customHeight="1" x14ac:dyDescent="0.15"/>
    <row r="22" ht="13.5" customHeight="1" x14ac:dyDescent="0.15"/>
    <row r="23" ht="13.5" customHeight="1" x14ac:dyDescent="0.15"/>
    <row r="24" ht="13.5" customHeight="1" x14ac:dyDescent="0.15"/>
    <row r="25" ht="13.5" customHeight="1" x14ac:dyDescent="0.15"/>
    <row r="26" ht="13.5" customHeight="1" x14ac:dyDescent="0.15"/>
    <row r="27" ht="13.5" customHeight="1" x14ac:dyDescent="0.15"/>
    <row r="28" ht="13.5" customHeight="1" x14ac:dyDescent="0.15"/>
    <row r="29" ht="13.5" customHeight="1" x14ac:dyDescent="0.15"/>
    <row r="30" ht="13.5" customHeight="1" x14ac:dyDescent="0.15"/>
    <row r="31" ht="13.5" customHeight="1" x14ac:dyDescent="0.15"/>
    <row r="32" ht="13.5" customHeight="1" x14ac:dyDescent="0.15"/>
    <row r="33" ht="13.5" customHeight="1" x14ac:dyDescent="0.15"/>
    <row r="34" ht="13.5" customHeight="1" x14ac:dyDescent="0.15"/>
    <row r="35" ht="13.5" customHeight="1" x14ac:dyDescent="0.15"/>
    <row r="36" ht="13.5" customHeight="1" x14ac:dyDescent="0.15"/>
    <row r="37" ht="13.5" customHeight="1" x14ac:dyDescent="0.15"/>
    <row r="38" ht="13.5" customHeight="1" x14ac:dyDescent="0.15"/>
    <row r="39" ht="13.5" customHeight="1" x14ac:dyDescent="0.15"/>
    <row r="40" ht="13.5" customHeight="1" x14ac:dyDescent="0.15"/>
    <row r="41" ht="13.5" customHeight="1" x14ac:dyDescent="0.15"/>
    <row r="42" ht="13.5" customHeight="1" x14ac:dyDescent="0.15"/>
    <row r="43" ht="13.5" customHeight="1" x14ac:dyDescent="0.15"/>
    <row r="44" ht="13.5" customHeight="1" x14ac:dyDescent="0.15"/>
    <row r="45" ht="13.5" customHeight="1" x14ac:dyDescent="0.15"/>
    <row r="46" ht="13.5" customHeight="1" x14ac:dyDescent="0.15"/>
    <row r="47" ht="13.5" customHeight="1" x14ac:dyDescent="0.15"/>
    <row r="48" ht="13.5" customHeight="1" x14ac:dyDescent="0.15"/>
    <row r="49" ht="13.5" customHeight="1" x14ac:dyDescent="0.15"/>
    <row r="50" ht="13.5" customHeight="1" x14ac:dyDescent="0.15"/>
    <row r="51" ht="13.5" customHeight="1" x14ac:dyDescent="0.15"/>
    <row r="52" ht="13.5" customHeight="1" x14ac:dyDescent="0.15"/>
    <row r="53" ht="13.5" customHeight="1" x14ac:dyDescent="0.15"/>
    <row r="54" ht="13.5" customHeight="1" x14ac:dyDescent="0.15"/>
    <row r="55" ht="13.5" customHeight="1" x14ac:dyDescent="0.15"/>
    <row r="56" ht="13.5" customHeight="1" x14ac:dyDescent="0.15"/>
    <row r="57" ht="13.5" customHeight="1" x14ac:dyDescent="0.15"/>
    <row r="58" ht="13.5" customHeight="1" x14ac:dyDescent="0.15"/>
    <row r="59" ht="13.5" customHeight="1" x14ac:dyDescent="0.15"/>
    <row r="60" ht="13.5" customHeight="1" x14ac:dyDescent="0.15"/>
    <row r="61" ht="13.5" customHeight="1" x14ac:dyDescent="0.15"/>
    <row r="62" ht="13.5" customHeight="1" x14ac:dyDescent="0.15"/>
    <row r="63" ht="13.5" customHeight="1" x14ac:dyDescent="0.15"/>
    <row r="64" ht="13.5" customHeight="1" x14ac:dyDescent="0.15"/>
    <row r="65" ht="13.5" customHeight="1" x14ac:dyDescent="0.15"/>
    <row r="66" ht="13.5" customHeight="1" x14ac:dyDescent="0.15"/>
    <row r="67" ht="13.5" customHeight="1" x14ac:dyDescent="0.15"/>
    <row r="68" ht="13.5" customHeight="1" x14ac:dyDescent="0.15"/>
    <row r="69" ht="13.5" customHeight="1" x14ac:dyDescent="0.15"/>
    <row r="70" ht="13.5" customHeight="1" x14ac:dyDescent="0.15"/>
    <row r="71" ht="13.5" customHeight="1" x14ac:dyDescent="0.15"/>
    <row r="72" ht="13.5" customHeight="1" x14ac:dyDescent="0.15"/>
    <row r="73" ht="13.5" customHeight="1" x14ac:dyDescent="0.15"/>
    <row r="74" ht="13.5" customHeight="1" x14ac:dyDescent="0.15"/>
    <row r="75" ht="13.5" customHeight="1" x14ac:dyDescent="0.15"/>
    <row r="76" ht="13.5" customHeight="1" x14ac:dyDescent="0.15"/>
    <row r="77" ht="13.5" customHeight="1" x14ac:dyDescent="0.15"/>
    <row r="78" ht="13.5" customHeight="1" x14ac:dyDescent="0.15"/>
    <row r="79" ht="13.5" customHeight="1" x14ac:dyDescent="0.15"/>
    <row r="80" ht="13.5" customHeight="1" x14ac:dyDescent="0.15"/>
    <row r="81" ht="13.5" customHeight="1" x14ac:dyDescent="0.15"/>
    <row r="82" ht="13.5" customHeight="1" x14ac:dyDescent="0.15"/>
    <row r="83" ht="13.5" customHeight="1" x14ac:dyDescent="0.15"/>
    <row r="84" ht="13.5" customHeight="1" x14ac:dyDescent="0.15"/>
    <row r="85" ht="13.5" customHeight="1" x14ac:dyDescent="0.15"/>
    <row r="86" ht="13.5" customHeight="1" x14ac:dyDescent="0.15"/>
    <row r="87" ht="13.5" customHeight="1" x14ac:dyDescent="0.15"/>
    <row r="88" ht="13.5" customHeight="1" x14ac:dyDescent="0.15"/>
    <row r="89" ht="13.5" customHeight="1" x14ac:dyDescent="0.15"/>
    <row r="90" ht="13.5" customHeight="1" x14ac:dyDescent="0.15"/>
    <row r="91" ht="13.5" customHeight="1" x14ac:dyDescent="0.15"/>
    <row r="92" ht="13.5" customHeight="1" x14ac:dyDescent="0.15"/>
    <row r="93" ht="13.5" customHeight="1" x14ac:dyDescent="0.15"/>
    <row r="94" ht="13.5" customHeight="1" x14ac:dyDescent="0.15"/>
    <row r="95" ht="13.5" customHeight="1" x14ac:dyDescent="0.15"/>
    <row r="96" ht="13.5" customHeight="1" x14ac:dyDescent="0.15"/>
    <row r="97" ht="13.5" customHeight="1" x14ac:dyDescent="0.15"/>
    <row r="98" ht="13.5" customHeight="1" x14ac:dyDescent="0.15"/>
    <row r="99" ht="13.5" customHeight="1" x14ac:dyDescent="0.15"/>
    <row r="100" ht="13.5" customHeight="1" x14ac:dyDescent="0.15"/>
    <row r="101" ht="13.5" customHeight="1" x14ac:dyDescent="0.15"/>
    <row r="102" ht="13.5" customHeight="1" x14ac:dyDescent="0.15"/>
    <row r="103" ht="13.5" customHeight="1" x14ac:dyDescent="0.15"/>
    <row r="104" ht="13.5" customHeight="1" x14ac:dyDescent="0.15"/>
    <row r="105" ht="13.5" customHeight="1" x14ac:dyDescent="0.15"/>
    <row r="106" ht="13.5" customHeight="1" x14ac:dyDescent="0.15"/>
    <row r="107" ht="13.5" customHeight="1" x14ac:dyDescent="0.15"/>
    <row r="108" ht="13.5" customHeight="1" x14ac:dyDescent="0.15"/>
    <row r="109" ht="13.5" customHeight="1" x14ac:dyDescent="0.15"/>
    <row r="110" ht="13.5" customHeight="1" x14ac:dyDescent="0.15"/>
    <row r="111" ht="13.5" customHeight="1" x14ac:dyDescent="0.15"/>
    <row r="112" ht="13.5" customHeight="1" x14ac:dyDescent="0.15"/>
    <row r="113" ht="13.5" customHeight="1" x14ac:dyDescent="0.15"/>
    <row r="114" ht="13.5" customHeight="1" x14ac:dyDescent="0.15"/>
    <row r="115" ht="13.5" customHeight="1" x14ac:dyDescent="0.15"/>
    <row r="116" ht="13.5" customHeight="1" x14ac:dyDescent="0.15"/>
    <row r="117" ht="13.5" customHeight="1" x14ac:dyDescent="0.15"/>
    <row r="118" ht="13.5" customHeight="1" x14ac:dyDescent="0.15"/>
    <row r="119" ht="13.5" customHeight="1" x14ac:dyDescent="0.15"/>
    <row r="120" ht="13.5" customHeight="1" x14ac:dyDescent="0.15"/>
    <row r="121" ht="13.5" customHeight="1" x14ac:dyDescent="0.15"/>
    <row r="122" ht="13.5" customHeight="1" x14ac:dyDescent="0.15"/>
    <row r="123" ht="13.5" customHeight="1" x14ac:dyDescent="0.15"/>
    <row r="124" ht="13.5" customHeight="1" x14ac:dyDescent="0.15"/>
    <row r="125" ht="13.5" customHeight="1" x14ac:dyDescent="0.15"/>
    <row r="126" ht="13.5" customHeight="1" x14ac:dyDescent="0.15"/>
    <row r="127" ht="13.5" customHeight="1" x14ac:dyDescent="0.15"/>
    <row r="128" ht="13.5" customHeight="1" x14ac:dyDescent="0.15"/>
    <row r="129" ht="13.5" customHeight="1" x14ac:dyDescent="0.15"/>
    <row r="130" ht="13.5" customHeight="1" x14ac:dyDescent="0.15"/>
    <row r="131" ht="13.5" customHeight="1" x14ac:dyDescent="0.15"/>
    <row r="132" ht="13.5" customHeight="1" x14ac:dyDescent="0.15"/>
    <row r="133" ht="13.5" customHeight="1" x14ac:dyDescent="0.15"/>
    <row r="134" ht="13.5" customHeight="1" x14ac:dyDescent="0.15"/>
    <row r="135" ht="13.5" customHeight="1" x14ac:dyDescent="0.15"/>
    <row r="136" ht="13.5" customHeight="1" x14ac:dyDescent="0.15"/>
    <row r="137" ht="13.5" customHeight="1" x14ac:dyDescent="0.15"/>
    <row r="138" ht="13.5" customHeight="1" x14ac:dyDescent="0.15"/>
    <row r="139" ht="13.5" customHeight="1" x14ac:dyDescent="0.15"/>
    <row r="140" ht="13.5" customHeight="1" x14ac:dyDescent="0.15"/>
    <row r="141" ht="13.5" customHeight="1" x14ac:dyDescent="0.15"/>
    <row r="142" ht="13.5" customHeight="1" x14ac:dyDescent="0.15"/>
    <row r="143" ht="13.5" customHeight="1" x14ac:dyDescent="0.15"/>
    <row r="144" ht="13.5" customHeight="1" x14ac:dyDescent="0.15"/>
    <row r="145" ht="13.5" customHeight="1" x14ac:dyDescent="0.15"/>
    <row r="146" ht="13.5" customHeight="1" x14ac:dyDescent="0.15"/>
    <row r="147" ht="13.5" customHeight="1" x14ac:dyDescent="0.15"/>
    <row r="148" ht="13.5" customHeight="1" x14ac:dyDescent="0.15"/>
    <row r="149" ht="13.5" customHeight="1" x14ac:dyDescent="0.15"/>
    <row r="150" ht="13.5" customHeight="1" x14ac:dyDescent="0.15"/>
    <row r="151" ht="13.5" customHeight="1" x14ac:dyDescent="0.15"/>
    <row r="152" ht="13.5" customHeight="1" x14ac:dyDescent="0.15"/>
    <row r="153" ht="13.5" customHeight="1" x14ac:dyDescent="0.15"/>
    <row r="154" ht="13.5" customHeight="1" x14ac:dyDescent="0.15"/>
    <row r="155" ht="13.5" customHeight="1" x14ac:dyDescent="0.15"/>
    <row r="156" ht="13.5" customHeight="1" x14ac:dyDescent="0.15"/>
    <row r="157" ht="13.5" customHeight="1" x14ac:dyDescent="0.15"/>
    <row r="158" ht="13.5" customHeight="1" x14ac:dyDescent="0.15"/>
    <row r="159" ht="13.5" customHeight="1" x14ac:dyDescent="0.15"/>
    <row r="160" ht="13.5" customHeight="1" x14ac:dyDescent="0.15"/>
    <row r="161" ht="13.5" customHeight="1" x14ac:dyDescent="0.15"/>
    <row r="162" ht="13.5" customHeight="1" x14ac:dyDescent="0.15"/>
    <row r="163" ht="13.5" customHeight="1" x14ac:dyDescent="0.15"/>
    <row r="164" ht="13.5" customHeight="1" x14ac:dyDescent="0.15"/>
    <row r="165" ht="13.5" customHeight="1" x14ac:dyDescent="0.15"/>
    <row r="166" ht="13.5" customHeight="1" x14ac:dyDescent="0.15"/>
    <row r="167" ht="13.5" customHeight="1" x14ac:dyDescent="0.15"/>
    <row r="168" ht="13.5" customHeight="1" x14ac:dyDescent="0.15"/>
    <row r="169" ht="13.5" customHeight="1" x14ac:dyDescent="0.15"/>
    <row r="170" ht="13.5" customHeight="1" x14ac:dyDescent="0.15"/>
    <row r="171" ht="13.5" customHeight="1" x14ac:dyDescent="0.15"/>
    <row r="172" ht="13.5" customHeight="1" x14ac:dyDescent="0.15"/>
    <row r="173" ht="13.5" customHeight="1" x14ac:dyDescent="0.15"/>
    <row r="174" ht="13.5" customHeight="1" x14ac:dyDescent="0.15"/>
    <row r="175" ht="13.5" customHeight="1" x14ac:dyDescent="0.15"/>
    <row r="176" ht="13.5" customHeight="1" x14ac:dyDescent="0.15"/>
    <row r="177" ht="13.5" customHeight="1" x14ac:dyDescent="0.15"/>
    <row r="178" ht="13.5" customHeight="1" x14ac:dyDescent="0.15"/>
    <row r="179" ht="13.5" customHeight="1" x14ac:dyDescent="0.15"/>
    <row r="180" ht="13.5" customHeight="1" x14ac:dyDescent="0.15"/>
    <row r="181" ht="13.5" customHeight="1" x14ac:dyDescent="0.15"/>
    <row r="182" ht="13.5" customHeight="1" x14ac:dyDescent="0.15"/>
    <row r="183" ht="13.5" customHeight="1" x14ac:dyDescent="0.15"/>
    <row r="184" ht="13.5" customHeight="1" x14ac:dyDescent="0.15"/>
    <row r="185" ht="13.5" customHeight="1" x14ac:dyDescent="0.15"/>
    <row r="186" ht="13.5" customHeight="1" x14ac:dyDescent="0.15"/>
    <row r="187" ht="13.5" customHeight="1" x14ac:dyDescent="0.15"/>
    <row r="188" ht="13.5" customHeight="1" x14ac:dyDescent="0.15"/>
    <row r="189" ht="13.5" customHeight="1" x14ac:dyDescent="0.15"/>
    <row r="190" ht="13.5" customHeight="1" x14ac:dyDescent="0.15"/>
    <row r="191" ht="13.5" customHeight="1" x14ac:dyDescent="0.15"/>
    <row r="192" ht="13.5" customHeight="1" x14ac:dyDescent="0.15"/>
    <row r="193" ht="13.5" customHeight="1" x14ac:dyDescent="0.15"/>
    <row r="194" ht="13.5" customHeight="1" x14ac:dyDescent="0.15"/>
    <row r="195" ht="13.5" customHeight="1" x14ac:dyDescent="0.15"/>
    <row r="196" ht="13.5" customHeight="1" x14ac:dyDescent="0.15"/>
    <row r="197" ht="13.5" customHeight="1" x14ac:dyDescent="0.15"/>
    <row r="198" ht="13.5" customHeight="1" x14ac:dyDescent="0.15"/>
    <row r="199" ht="13.5" customHeight="1" x14ac:dyDescent="0.15"/>
    <row r="200" ht="13.5" customHeight="1" x14ac:dyDescent="0.15"/>
    <row r="201" ht="13.5" customHeight="1" x14ac:dyDescent="0.15"/>
    <row r="202" ht="13.5" customHeight="1" x14ac:dyDescent="0.15"/>
    <row r="203" ht="13.5" customHeight="1" x14ac:dyDescent="0.15"/>
    <row r="204" ht="13.5" customHeight="1" x14ac:dyDescent="0.15"/>
    <row r="205" ht="13.5" customHeight="1" x14ac:dyDescent="0.15"/>
    <row r="206" ht="13.5" customHeight="1" x14ac:dyDescent="0.15"/>
    <row r="207" ht="13.5" customHeight="1" x14ac:dyDescent="0.15"/>
    <row r="208" ht="13.5" customHeight="1" x14ac:dyDescent="0.15"/>
    <row r="209" ht="13.5" customHeight="1" x14ac:dyDescent="0.15"/>
    <row r="210" ht="13.5" customHeight="1" x14ac:dyDescent="0.15"/>
    <row r="211" ht="13.5" customHeight="1" x14ac:dyDescent="0.15"/>
    <row r="212" ht="13.5" customHeight="1" x14ac:dyDescent="0.15"/>
    <row r="213" ht="13.5" customHeight="1" x14ac:dyDescent="0.15"/>
    <row r="214" ht="13.5" customHeight="1" x14ac:dyDescent="0.15"/>
    <row r="215" ht="13.5" customHeight="1" x14ac:dyDescent="0.15"/>
    <row r="216" ht="13.5" customHeight="1" x14ac:dyDescent="0.15"/>
    <row r="217" ht="13.5" customHeight="1" x14ac:dyDescent="0.15"/>
    <row r="218" ht="13.5" customHeight="1" x14ac:dyDescent="0.15"/>
    <row r="219" ht="13.5" customHeight="1" x14ac:dyDescent="0.15"/>
    <row r="220" ht="13.5" customHeight="1" x14ac:dyDescent="0.15"/>
    <row r="221" ht="13.5" customHeight="1" x14ac:dyDescent="0.15"/>
    <row r="222" ht="13.5" customHeight="1" x14ac:dyDescent="0.15"/>
    <row r="223" ht="13.5" customHeight="1" x14ac:dyDescent="0.15"/>
    <row r="224" ht="13.5" customHeight="1" x14ac:dyDescent="0.15"/>
    <row r="225" ht="13.5" customHeight="1" x14ac:dyDescent="0.15"/>
    <row r="226" ht="13.5" customHeight="1" x14ac:dyDescent="0.15"/>
    <row r="227" ht="13.5" customHeight="1" x14ac:dyDescent="0.15"/>
    <row r="228" ht="13.5" customHeight="1" x14ac:dyDescent="0.15"/>
    <row r="229" ht="13.5" customHeight="1" x14ac:dyDescent="0.15"/>
    <row r="230" ht="13.5" customHeight="1" x14ac:dyDescent="0.15"/>
    <row r="231" ht="13.5" customHeight="1" x14ac:dyDescent="0.15"/>
    <row r="232" ht="13.5" customHeight="1" x14ac:dyDescent="0.15"/>
    <row r="233" ht="13.5" customHeight="1" x14ac:dyDescent="0.15"/>
    <row r="234" ht="13.5" customHeight="1" x14ac:dyDescent="0.15"/>
    <row r="235" ht="13.5" customHeight="1" x14ac:dyDescent="0.15"/>
    <row r="236" ht="13.5" customHeight="1" x14ac:dyDescent="0.15"/>
    <row r="237" ht="13.5" customHeight="1" x14ac:dyDescent="0.15"/>
    <row r="238" ht="13.5" customHeight="1" x14ac:dyDescent="0.15"/>
    <row r="239" ht="13.5" customHeight="1" x14ac:dyDescent="0.15"/>
    <row r="240" ht="13.5" customHeight="1" x14ac:dyDescent="0.15"/>
    <row r="241" ht="13.5" customHeight="1" x14ac:dyDescent="0.15"/>
    <row r="242" ht="13.5" customHeight="1" x14ac:dyDescent="0.15"/>
    <row r="243" ht="13.5" customHeight="1" x14ac:dyDescent="0.15"/>
    <row r="244" ht="13.5" customHeight="1" x14ac:dyDescent="0.15"/>
    <row r="245" ht="13.5" customHeight="1" x14ac:dyDescent="0.15"/>
    <row r="246" ht="13.5" customHeight="1" x14ac:dyDescent="0.15"/>
    <row r="247" ht="13.5" customHeight="1" x14ac:dyDescent="0.15"/>
    <row r="248" ht="13.5" customHeight="1" x14ac:dyDescent="0.15"/>
    <row r="249" ht="13.5" customHeight="1" x14ac:dyDescent="0.15"/>
    <row r="250" ht="13.5" customHeight="1" x14ac:dyDescent="0.15"/>
    <row r="251" ht="13.5" customHeight="1" x14ac:dyDescent="0.15"/>
    <row r="252" ht="13.5" customHeight="1" x14ac:dyDescent="0.15"/>
    <row r="253" ht="13.5" customHeight="1" x14ac:dyDescent="0.15"/>
    <row r="254" ht="13.5" customHeight="1" x14ac:dyDescent="0.15"/>
    <row r="255" ht="13.5" customHeight="1" x14ac:dyDescent="0.15"/>
    <row r="256" ht="13.5" customHeight="1" x14ac:dyDescent="0.15"/>
    <row r="257" ht="13.5" customHeight="1" x14ac:dyDescent="0.15"/>
    <row r="258" ht="13.5" customHeight="1" x14ac:dyDescent="0.15"/>
    <row r="259" ht="13.5" customHeight="1" x14ac:dyDescent="0.15"/>
    <row r="260" ht="13.5" customHeight="1" x14ac:dyDescent="0.15"/>
    <row r="261" ht="13.5" customHeight="1" x14ac:dyDescent="0.15"/>
    <row r="262" ht="13.5" customHeight="1" x14ac:dyDescent="0.15"/>
    <row r="263" ht="13.5" customHeight="1" x14ac:dyDescent="0.15"/>
    <row r="264" ht="13.5" customHeight="1" x14ac:dyDescent="0.15"/>
    <row r="265" ht="13.5" customHeight="1" x14ac:dyDescent="0.15"/>
    <row r="266" ht="13.5" customHeight="1" x14ac:dyDescent="0.15"/>
    <row r="267" ht="13.5" customHeight="1" x14ac:dyDescent="0.15"/>
    <row r="268" ht="13.5" customHeight="1" x14ac:dyDescent="0.15"/>
    <row r="269" ht="13.5" customHeight="1" x14ac:dyDescent="0.15"/>
    <row r="270" ht="13.5" customHeight="1" x14ac:dyDescent="0.15"/>
    <row r="271" ht="13.5" customHeight="1" x14ac:dyDescent="0.15"/>
    <row r="272" ht="13.5" customHeight="1" x14ac:dyDescent="0.15"/>
    <row r="273" ht="13.5" customHeight="1" x14ac:dyDescent="0.15"/>
    <row r="274" ht="13.5" customHeight="1" x14ac:dyDescent="0.15"/>
    <row r="275" ht="13.5" customHeight="1" x14ac:dyDescent="0.15"/>
    <row r="276" ht="13.5" customHeight="1" x14ac:dyDescent="0.15"/>
    <row r="277" ht="13.5" customHeight="1" x14ac:dyDescent="0.15"/>
    <row r="278" ht="13.5" customHeight="1" x14ac:dyDescent="0.15"/>
    <row r="279" ht="13.5" customHeight="1" x14ac:dyDescent="0.15"/>
    <row r="280" ht="13.5" customHeight="1" x14ac:dyDescent="0.15"/>
    <row r="281" ht="13.5" customHeight="1" x14ac:dyDescent="0.15"/>
    <row r="282" ht="13.5" customHeight="1" x14ac:dyDescent="0.15"/>
    <row r="283" ht="13.5" customHeight="1" x14ac:dyDescent="0.15"/>
    <row r="284" ht="13.5" customHeight="1" x14ac:dyDescent="0.15"/>
    <row r="285" ht="13.5" customHeight="1" x14ac:dyDescent="0.15"/>
    <row r="286" ht="13.5" customHeight="1" x14ac:dyDescent="0.15"/>
    <row r="287" ht="13.5" customHeight="1" x14ac:dyDescent="0.15"/>
    <row r="288" ht="13.5" customHeight="1" x14ac:dyDescent="0.15"/>
    <row r="289" ht="13.5" customHeight="1" x14ac:dyDescent="0.15"/>
    <row r="290" ht="13.5" customHeight="1" x14ac:dyDescent="0.15"/>
    <row r="291" ht="13.5" customHeight="1" x14ac:dyDescent="0.15"/>
    <row r="292" ht="13.5" customHeight="1" x14ac:dyDescent="0.15"/>
    <row r="293" ht="13.5" customHeight="1" x14ac:dyDescent="0.15"/>
    <row r="294" ht="13.5" customHeight="1" x14ac:dyDescent="0.15"/>
    <row r="295" ht="13.5" customHeight="1" x14ac:dyDescent="0.15"/>
    <row r="296" ht="13.5" customHeight="1" x14ac:dyDescent="0.15"/>
    <row r="297" ht="13.5" customHeight="1" x14ac:dyDescent="0.15"/>
    <row r="298" ht="13.5" customHeight="1" x14ac:dyDescent="0.15"/>
    <row r="299" ht="13.5" customHeight="1" x14ac:dyDescent="0.15"/>
    <row r="300" ht="13.5" customHeight="1" x14ac:dyDescent="0.15"/>
    <row r="301" ht="13.5" customHeight="1" x14ac:dyDescent="0.15"/>
    <row r="302" ht="13.5" customHeight="1" x14ac:dyDescent="0.15"/>
    <row r="303" ht="13.5" customHeight="1" x14ac:dyDescent="0.15"/>
    <row r="304" ht="13.5" customHeight="1" x14ac:dyDescent="0.15"/>
    <row r="305" ht="13.5" customHeight="1" x14ac:dyDescent="0.15"/>
    <row r="306" ht="13.5" customHeight="1" x14ac:dyDescent="0.15"/>
    <row r="307" ht="13.5" customHeight="1" x14ac:dyDescent="0.15"/>
    <row r="308" ht="13.5" customHeight="1" x14ac:dyDescent="0.15"/>
    <row r="309" ht="13.5" customHeight="1" x14ac:dyDescent="0.15"/>
    <row r="310" ht="13.5" customHeight="1" x14ac:dyDescent="0.15"/>
    <row r="311" ht="13.5" customHeight="1" x14ac:dyDescent="0.15"/>
    <row r="312" ht="13.5" customHeight="1" x14ac:dyDescent="0.15"/>
    <row r="313" ht="13.5" customHeight="1" x14ac:dyDescent="0.15"/>
    <row r="314" ht="13.5" customHeight="1" x14ac:dyDescent="0.15"/>
    <row r="315" ht="13.5" customHeight="1" x14ac:dyDescent="0.15"/>
    <row r="316" ht="13.5" customHeight="1" x14ac:dyDescent="0.15"/>
    <row r="317" ht="13.5" customHeight="1" x14ac:dyDescent="0.15"/>
    <row r="318" ht="13.5" customHeight="1" x14ac:dyDescent="0.15"/>
    <row r="319" ht="13.5" customHeight="1" x14ac:dyDescent="0.15"/>
    <row r="320" ht="13.5" customHeight="1" x14ac:dyDescent="0.15"/>
    <row r="321" ht="13.5" customHeight="1" x14ac:dyDescent="0.15"/>
    <row r="322" ht="13.5" customHeight="1" x14ac:dyDescent="0.15"/>
    <row r="323" ht="13.5" customHeight="1" x14ac:dyDescent="0.15"/>
    <row r="324" ht="13.5" customHeight="1" x14ac:dyDescent="0.15"/>
    <row r="325" ht="13.5" customHeight="1" x14ac:dyDescent="0.15"/>
    <row r="326" ht="13.5" customHeight="1" x14ac:dyDescent="0.15"/>
    <row r="327" ht="13.5" customHeight="1" x14ac:dyDescent="0.15"/>
    <row r="328" ht="13.5" customHeight="1" x14ac:dyDescent="0.15"/>
    <row r="329" ht="13.5" customHeight="1" x14ac:dyDescent="0.15"/>
    <row r="330" ht="13.5" customHeight="1" x14ac:dyDescent="0.15"/>
    <row r="331" ht="13.5" customHeight="1" x14ac:dyDescent="0.15"/>
    <row r="332" ht="13.5" customHeight="1" x14ac:dyDescent="0.15"/>
    <row r="333" ht="13.5" customHeight="1" x14ac:dyDescent="0.15"/>
    <row r="334" ht="13.5" customHeight="1" x14ac:dyDescent="0.15"/>
    <row r="335" ht="13.5" customHeight="1" x14ac:dyDescent="0.15"/>
    <row r="336" ht="13.5" customHeight="1" x14ac:dyDescent="0.15"/>
    <row r="337" ht="13.5" customHeight="1" x14ac:dyDescent="0.15"/>
    <row r="338" ht="13.5" customHeight="1" x14ac:dyDescent="0.15"/>
    <row r="339" ht="13.5" customHeight="1" x14ac:dyDescent="0.15"/>
    <row r="340" ht="13.5" customHeight="1" x14ac:dyDescent="0.15"/>
    <row r="341" ht="13.5" customHeight="1" x14ac:dyDescent="0.15"/>
    <row r="342" ht="13.5" customHeight="1" x14ac:dyDescent="0.15"/>
    <row r="343" ht="13.5" customHeight="1" x14ac:dyDescent="0.15"/>
    <row r="344" ht="13.5" customHeight="1" x14ac:dyDescent="0.15"/>
    <row r="345" ht="13.5" customHeight="1" x14ac:dyDescent="0.15"/>
    <row r="346" ht="13.5" customHeight="1" x14ac:dyDescent="0.15"/>
    <row r="347" ht="13.5" customHeight="1" x14ac:dyDescent="0.15"/>
    <row r="348" ht="13.5" customHeight="1" x14ac:dyDescent="0.15"/>
    <row r="349" ht="13.5" customHeight="1" x14ac:dyDescent="0.15"/>
    <row r="350" ht="13.5" customHeight="1" x14ac:dyDescent="0.15"/>
    <row r="351" ht="13.5" customHeight="1" x14ac:dyDescent="0.15"/>
    <row r="352" ht="13.5" customHeight="1" x14ac:dyDescent="0.15"/>
    <row r="353" ht="13.5" customHeight="1" x14ac:dyDescent="0.15"/>
    <row r="354" ht="13.5" customHeight="1" x14ac:dyDescent="0.15"/>
    <row r="355" ht="13.5" customHeight="1" x14ac:dyDescent="0.15"/>
    <row r="356" ht="13.5" customHeight="1" x14ac:dyDescent="0.15"/>
    <row r="357" ht="13.5" customHeight="1" x14ac:dyDescent="0.15"/>
    <row r="358" ht="13.5" customHeight="1" x14ac:dyDescent="0.15"/>
    <row r="359" ht="13.5" customHeight="1" x14ac:dyDescent="0.15"/>
    <row r="360" ht="13.5" customHeight="1" x14ac:dyDescent="0.15"/>
    <row r="361" ht="13.5" customHeight="1" x14ac:dyDescent="0.15"/>
    <row r="362" ht="13.5" customHeight="1" x14ac:dyDescent="0.15"/>
    <row r="363" ht="13.5" customHeight="1" x14ac:dyDescent="0.15"/>
    <row r="364" ht="13.5" customHeight="1" x14ac:dyDescent="0.15"/>
    <row r="365" ht="13.5" customHeight="1" x14ac:dyDescent="0.15"/>
    <row r="366" ht="13.5" customHeight="1" x14ac:dyDescent="0.15"/>
    <row r="367" ht="13.5" customHeight="1" x14ac:dyDescent="0.15"/>
    <row r="368" ht="13.5" customHeight="1" x14ac:dyDescent="0.15"/>
    <row r="369" ht="13.5" customHeight="1" x14ac:dyDescent="0.15"/>
    <row r="370" ht="13.5" customHeight="1" x14ac:dyDescent="0.15"/>
    <row r="371" ht="13.5" customHeight="1" x14ac:dyDescent="0.15"/>
    <row r="372" ht="13.5" customHeight="1" x14ac:dyDescent="0.15"/>
    <row r="373" ht="13.5" customHeight="1" x14ac:dyDescent="0.15"/>
    <row r="374" ht="13.5" customHeight="1" x14ac:dyDescent="0.15"/>
    <row r="375" ht="13.5" customHeight="1" x14ac:dyDescent="0.15"/>
    <row r="376" ht="13.5" customHeight="1" x14ac:dyDescent="0.15"/>
    <row r="377" ht="13.5" customHeight="1" x14ac:dyDescent="0.15"/>
    <row r="378" ht="13.5" customHeight="1" x14ac:dyDescent="0.15"/>
    <row r="379" ht="13.5" customHeight="1" x14ac:dyDescent="0.15"/>
    <row r="380" ht="13.5" customHeight="1" x14ac:dyDescent="0.15"/>
    <row r="381" ht="13.5" customHeight="1" x14ac:dyDescent="0.15"/>
    <row r="382" ht="13.5" customHeight="1" x14ac:dyDescent="0.15"/>
    <row r="383" ht="13.5" customHeight="1" x14ac:dyDescent="0.15"/>
    <row r="384" ht="13.5" customHeight="1" x14ac:dyDescent="0.15"/>
    <row r="385" ht="13.5" customHeight="1" x14ac:dyDescent="0.15"/>
    <row r="386" ht="13.5" customHeight="1" x14ac:dyDescent="0.15"/>
    <row r="387" ht="13.5" customHeight="1" x14ac:dyDescent="0.15"/>
    <row r="388" ht="13.5" customHeight="1" x14ac:dyDescent="0.15"/>
    <row r="389" ht="13.5" customHeight="1" x14ac:dyDescent="0.15"/>
    <row r="390" ht="13.5" customHeight="1" x14ac:dyDescent="0.15"/>
    <row r="391" ht="13.5" customHeight="1" x14ac:dyDescent="0.15"/>
    <row r="392" ht="13.5" customHeight="1" x14ac:dyDescent="0.15"/>
    <row r="393" ht="13.5" customHeight="1" x14ac:dyDescent="0.15"/>
    <row r="394" ht="13.5" customHeight="1" x14ac:dyDescent="0.15"/>
    <row r="395" ht="13.5" customHeight="1" x14ac:dyDescent="0.15"/>
    <row r="396" ht="13.5" customHeight="1" x14ac:dyDescent="0.15"/>
    <row r="397" ht="13.5" customHeight="1" x14ac:dyDescent="0.15"/>
    <row r="398" ht="13.5" customHeight="1" x14ac:dyDescent="0.15"/>
    <row r="399" ht="13.5" customHeight="1" x14ac:dyDescent="0.15"/>
    <row r="400" ht="13.5" customHeight="1" x14ac:dyDescent="0.15"/>
    <row r="401" ht="13.5" customHeight="1" x14ac:dyDescent="0.15"/>
    <row r="402" ht="13.5" customHeight="1" x14ac:dyDescent="0.15"/>
    <row r="403" ht="13.5" customHeight="1" x14ac:dyDescent="0.15"/>
    <row r="404" ht="13.5" customHeight="1" x14ac:dyDescent="0.15"/>
    <row r="405" ht="13.5" customHeight="1" x14ac:dyDescent="0.15"/>
    <row r="406" ht="13.5" customHeight="1" x14ac:dyDescent="0.15"/>
    <row r="407" ht="13.5" customHeight="1" x14ac:dyDescent="0.15"/>
    <row r="408" ht="13.5" customHeight="1" x14ac:dyDescent="0.15"/>
    <row r="409" ht="13.5" customHeight="1" x14ac:dyDescent="0.15"/>
    <row r="410" ht="13.5" customHeight="1" x14ac:dyDescent="0.15"/>
    <row r="411" ht="13.5" customHeight="1" x14ac:dyDescent="0.15"/>
    <row r="412" ht="13.5" customHeight="1" x14ac:dyDescent="0.15"/>
    <row r="413" ht="13.5" customHeight="1" x14ac:dyDescent="0.15"/>
    <row r="414" ht="13.5" customHeight="1" x14ac:dyDescent="0.15"/>
    <row r="415" ht="13.5" customHeight="1" x14ac:dyDescent="0.15"/>
    <row r="416" ht="13.5" customHeight="1" x14ac:dyDescent="0.15"/>
    <row r="417" ht="13.5" customHeight="1" x14ac:dyDescent="0.15"/>
    <row r="418" ht="13.5" customHeight="1" x14ac:dyDescent="0.15"/>
    <row r="419" ht="13.5" customHeight="1" x14ac:dyDescent="0.15"/>
    <row r="420" ht="13.5" customHeight="1" x14ac:dyDescent="0.15"/>
    <row r="421" ht="13.5" customHeight="1" x14ac:dyDescent="0.15"/>
    <row r="422" ht="13.5" customHeight="1" x14ac:dyDescent="0.15"/>
    <row r="423" ht="13.5" customHeight="1" x14ac:dyDescent="0.15"/>
    <row r="424" ht="13.5" customHeight="1" x14ac:dyDescent="0.15"/>
    <row r="425" ht="13.5" customHeight="1" x14ac:dyDescent="0.15"/>
    <row r="426" ht="13.5" customHeight="1" x14ac:dyDescent="0.15"/>
    <row r="427" ht="13.5" customHeight="1" x14ac:dyDescent="0.15"/>
    <row r="428" ht="13.5" customHeight="1" x14ac:dyDescent="0.15"/>
    <row r="429" ht="13.5" customHeight="1" x14ac:dyDescent="0.15"/>
    <row r="430" ht="13.5" customHeight="1" x14ac:dyDescent="0.15"/>
    <row r="431" ht="13.5" customHeight="1" x14ac:dyDescent="0.15"/>
    <row r="432" ht="13.5" customHeight="1" x14ac:dyDescent="0.15"/>
    <row r="433" ht="13.5" customHeight="1" x14ac:dyDescent="0.15"/>
    <row r="434" ht="13.5" customHeight="1" x14ac:dyDescent="0.15"/>
    <row r="435" ht="13.5" customHeight="1" x14ac:dyDescent="0.15"/>
    <row r="436" ht="13.5" customHeight="1" x14ac:dyDescent="0.15"/>
    <row r="437" ht="13.5" customHeight="1" x14ac:dyDescent="0.15"/>
    <row r="438" ht="13.5" customHeight="1" x14ac:dyDescent="0.15"/>
    <row r="439" ht="13.5" customHeight="1" x14ac:dyDescent="0.15"/>
    <row r="440" ht="13.5" customHeight="1" x14ac:dyDescent="0.15"/>
    <row r="441" ht="13.5" customHeight="1" x14ac:dyDescent="0.15"/>
    <row r="442" ht="13.5" customHeight="1" x14ac:dyDescent="0.15"/>
    <row r="443" ht="13.5" customHeight="1" x14ac:dyDescent="0.15"/>
    <row r="444" ht="13.5" customHeight="1" x14ac:dyDescent="0.15"/>
    <row r="445" ht="13.5" customHeight="1" x14ac:dyDescent="0.15"/>
    <row r="446" ht="13.5" customHeight="1" x14ac:dyDescent="0.15"/>
    <row r="447" ht="13.5" customHeight="1" x14ac:dyDescent="0.15"/>
    <row r="448" ht="13.5" customHeight="1" x14ac:dyDescent="0.15"/>
    <row r="449" ht="13.5" customHeight="1" x14ac:dyDescent="0.15"/>
    <row r="450" ht="13.5" customHeight="1" x14ac:dyDescent="0.15"/>
    <row r="451" ht="13.5" customHeight="1" x14ac:dyDescent="0.15"/>
    <row r="452" ht="13.5" customHeight="1" x14ac:dyDescent="0.15"/>
    <row r="453" ht="13.5" customHeight="1" x14ac:dyDescent="0.15"/>
    <row r="454" ht="13.5" customHeight="1" x14ac:dyDescent="0.15"/>
    <row r="455" ht="13.5" customHeight="1" x14ac:dyDescent="0.15"/>
    <row r="456" ht="13.5" customHeight="1" x14ac:dyDescent="0.15"/>
    <row r="457" ht="13.5" customHeight="1" x14ac:dyDescent="0.15"/>
    <row r="458" ht="13.5" customHeight="1" x14ac:dyDescent="0.15"/>
    <row r="459" ht="13.5" customHeight="1" x14ac:dyDescent="0.15"/>
    <row r="460" ht="13.5" customHeight="1" x14ac:dyDescent="0.15"/>
    <row r="461" ht="13.5" customHeight="1" x14ac:dyDescent="0.15"/>
    <row r="462" ht="13.5" customHeight="1" x14ac:dyDescent="0.15"/>
    <row r="463" ht="13.5" customHeight="1" x14ac:dyDescent="0.15"/>
    <row r="464" ht="13.5" customHeight="1" x14ac:dyDescent="0.15"/>
    <row r="465" ht="13.5" customHeight="1" x14ac:dyDescent="0.15"/>
    <row r="466" ht="13.5" customHeight="1" x14ac:dyDescent="0.15"/>
    <row r="467" ht="13.5" customHeight="1" x14ac:dyDescent="0.15"/>
    <row r="468" ht="13.5" customHeight="1" x14ac:dyDescent="0.15"/>
    <row r="469" ht="13.5" customHeight="1" x14ac:dyDescent="0.15"/>
    <row r="470" ht="13.5" customHeight="1" x14ac:dyDescent="0.15"/>
    <row r="471" ht="13.5" customHeight="1" x14ac:dyDescent="0.15"/>
    <row r="472" ht="13.5" customHeight="1" x14ac:dyDescent="0.15"/>
    <row r="473" ht="13.5" customHeight="1" x14ac:dyDescent="0.15"/>
    <row r="474" ht="13.5" customHeight="1" x14ac:dyDescent="0.15"/>
    <row r="475" ht="13.5" customHeight="1" x14ac:dyDescent="0.15"/>
    <row r="476" ht="13.5" customHeight="1" x14ac:dyDescent="0.15"/>
    <row r="477" ht="13.5" customHeight="1" x14ac:dyDescent="0.15"/>
    <row r="478" ht="13.5" customHeight="1" x14ac:dyDescent="0.15"/>
    <row r="479" ht="13.5" customHeight="1" x14ac:dyDescent="0.15"/>
    <row r="480" ht="13.5" customHeight="1" x14ac:dyDescent="0.15"/>
    <row r="481" ht="13.5" customHeight="1" x14ac:dyDescent="0.15"/>
    <row r="482" ht="13.5" customHeight="1" x14ac:dyDescent="0.15"/>
    <row r="483" ht="13.5" customHeight="1" x14ac:dyDescent="0.15"/>
    <row r="484" ht="13.5" customHeight="1" x14ac:dyDescent="0.15"/>
    <row r="485" ht="13.5" customHeight="1" x14ac:dyDescent="0.15"/>
    <row r="486" ht="13.5" customHeight="1" x14ac:dyDescent="0.15"/>
    <row r="487" ht="13.5" customHeight="1" x14ac:dyDescent="0.15"/>
    <row r="488" ht="13.5" customHeight="1" x14ac:dyDescent="0.15"/>
    <row r="489" ht="13.5" customHeight="1" x14ac:dyDescent="0.15"/>
    <row r="490" ht="13.5" customHeight="1" x14ac:dyDescent="0.15"/>
    <row r="491" ht="13.5" customHeight="1" x14ac:dyDescent="0.15"/>
    <row r="492" ht="13.5" customHeight="1" x14ac:dyDescent="0.15"/>
    <row r="493" ht="13.5" customHeight="1" x14ac:dyDescent="0.15"/>
    <row r="494" ht="13.5" customHeight="1" x14ac:dyDescent="0.15"/>
    <row r="495" ht="13.5" customHeight="1" x14ac:dyDescent="0.15"/>
    <row r="496" ht="13.5" customHeight="1" x14ac:dyDescent="0.15"/>
    <row r="497" ht="13.5" customHeight="1" x14ac:dyDescent="0.15"/>
    <row r="498" ht="13.5" customHeight="1" x14ac:dyDescent="0.15"/>
    <row r="499" ht="13.5" customHeight="1" x14ac:dyDescent="0.15"/>
    <row r="500" ht="13.5" customHeight="1" x14ac:dyDescent="0.15"/>
    <row r="501" ht="13.5" customHeight="1" x14ac:dyDescent="0.15"/>
    <row r="502" ht="13.5" customHeight="1" x14ac:dyDescent="0.15"/>
    <row r="503" ht="13.5" customHeight="1" x14ac:dyDescent="0.15"/>
    <row r="504" ht="13.5" customHeight="1" x14ac:dyDescent="0.15"/>
    <row r="505" ht="13.5" customHeight="1" x14ac:dyDescent="0.15"/>
    <row r="506" ht="13.5" customHeight="1" x14ac:dyDescent="0.15"/>
    <row r="507" ht="13.5" customHeight="1" x14ac:dyDescent="0.15"/>
    <row r="508" ht="13.5" customHeight="1" x14ac:dyDescent="0.15"/>
    <row r="509" ht="13.5" customHeight="1" x14ac:dyDescent="0.15"/>
    <row r="510" ht="13.5" customHeight="1" x14ac:dyDescent="0.15"/>
    <row r="511" ht="13.5" customHeight="1" x14ac:dyDescent="0.15"/>
    <row r="512" ht="13.5" customHeight="1" x14ac:dyDescent="0.15"/>
    <row r="513" ht="13.5" customHeight="1" x14ac:dyDescent="0.15"/>
    <row r="514" ht="13.5" customHeight="1" x14ac:dyDescent="0.15"/>
    <row r="515" ht="13.5" customHeight="1" x14ac:dyDescent="0.15"/>
    <row r="516" ht="13.5" customHeight="1" x14ac:dyDescent="0.15"/>
    <row r="517" ht="13.5" customHeight="1" x14ac:dyDescent="0.15"/>
    <row r="518" ht="13.5" customHeight="1" x14ac:dyDescent="0.15"/>
    <row r="519" ht="13.5" customHeight="1" x14ac:dyDescent="0.15"/>
    <row r="520" ht="13.5" customHeight="1" x14ac:dyDescent="0.15"/>
    <row r="521" ht="13.5" customHeight="1" x14ac:dyDescent="0.15"/>
    <row r="522" ht="13.5" customHeight="1" x14ac:dyDescent="0.15"/>
    <row r="523" ht="13.5" customHeight="1" x14ac:dyDescent="0.15"/>
    <row r="524" ht="13.5" customHeight="1" x14ac:dyDescent="0.15"/>
    <row r="525" ht="13.5" customHeight="1" x14ac:dyDescent="0.15"/>
    <row r="526" ht="13.5" customHeight="1" x14ac:dyDescent="0.15"/>
    <row r="527" ht="13.5" customHeight="1" x14ac:dyDescent="0.15"/>
    <row r="528" ht="13.5" customHeight="1" x14ac:dyDescent="0.15"/>
    <row r="529" ht="13.5" customHeight="1" x14ac:dyDescent="0.15"/>
    <row r="530" ht="13.5" customHeight="1" x14ac:dyDescent="0.15"/>
    <row r="531" ht="13.5" customHeight="1" x14ac:dyDescent="0.15"/>
    <row r="532" ht="13.5" customHeight="1" x14ac:dyDescent="0.15"/>
    <row r="533" ht="13.5" customHeight="1" x14ac:dyDescent="0.15"/>
    <row r="534" ht="13.5" customHeight="1" x14ac:dyDescent="0.15"/>
    <row r="535" ht="13.5" customHeight="1" x14ac:dyDescent="0.15"/>
    <row r="536" ht="13.5" customHeight="1" x14ac:dyDescent="0.15"/>
    <row r="537" ht="13.5" customHeight="1" x14ac:dyDescent="0.15"/>
    <row r="538" ht="13.5" customHeight="1" x14ac:dyDescent="0.15"/>
    <row r="539" ht="13.5" customHeight="1" x14ac:dyDescent="0.15"/>
    <row r="540" ht="13.5" customHeight="1" x14ac:dyDescent="0.15"/>
    <row r="541" ht="13.5" customHeight="1" x14ac:dyDescent="0.15"/>
    <row r="542" ht="13.5" customHeight="1" x14ac:dyDescent="0.15"/>
    <row r="543" ht="13.5" customHeight="1" x14ac:dyDescent="0.15"/>
    <row r="544" ht="13.5" customHeight="1" x14ac:dyDescent="0.15"/>
    <row r="545" ht="13.5" customHeight="1" x14ac:dyDescent="0.15"/>
    <row r="546" ht="13.5" customHeight="1" x14ac:dyDescent="0.15"/>
    <row r="547" ht="13.5" customHeight="1" x14ac:dyDescent="0.15"/>
    <row r="548" ht="13.5" customHeight="1" x14ac:dyDescent="0.15"/>
    <row r="549" ht="13.5" customHeight="1" x14ac:dyDescent="0.15"/>
    <row r="550" ht="13.5" customHeight="1" x14ac:dyDescent="0.15"/>
    <row r="551" ht="13.5" customHeight="1" x14ac:dyDescent="0.15"/>
    <row r="552" ht="13.5" customHeight="1" x14ac:dyDescent="0.15"/>
    <row r="553" ht="13.5" customHeight="1" x14ac:dyDescent="0.15"/>
    <row r="554" ht="13.5" customHeight="1" x14ac:dyDescent="0.15"/>
    <row r="555" ht="13.5" customHeight="1" x14ac:dyDescent="0.15"/>
    <row r="556" ht="13.5" customHeight="1" x14ac:dyDescent="0.15"/>
    <row r="557" ht="13.5" customHeight="1" x14ac:dyDescent="0.15"/>
    <row r="558" ht="13.5" customHeight="1" x14ac:dyDescent="0.15"/>
    <row r="559" ht="13.5" customHeight="1" x14ac:dyDescent="0.15"/>
    <row r="560" ht="13.5" customHeight="1" x14ac:dyDescent="0.15"/>
    <row r="561" ht="13.5" customHeight="1" x14ac:dyDescent="0.15"/>
    <row r="562" ht="13.5" customHeight="1" x14ac:dyDescent="0.15"/>
    <row r="563" ht="13.5" customHeight="1" x14ac:dyDescent="0.15"/>
    <row r="564" ht="13.5" customHeight="1" x14ac:dyDescent="0.15"/>
    <row r="565" ht="13.5" customHeight="1" x14ac:dyDescent="0.15"/>
    <row r="566" ht="13.5" customHeight="1" x14ac:dyDescent="0.15"/>
    <row r="567" ht="13.5" customHeight="1" x14ac:dyDescent="0.15"/>
    <row r="568" ht="13.5" customHeight="1" x14ac:dyDescent="0.15"/>
    <row r="569" ht="13.5" customHeight="1" x14ac:dyDescent="0.15"/>
    <row r="570" ht="13.5" customHeight="1" x14ac:dyDescent="0.15"/>
    <row r="571" ht="13.5" customHeight="1" x14ac:dyDescent="0.15"/>
    <row r="572" ht="13.5" customHeight="1" x14ac:dyDescent="0.15"/>
    <row r="573" ht="13.5" customHeight="1" x14ac:dyDescent="0.15"/>
    <row r="574" ht="13.5" customHeight="1" x14ac:dyDescent="0.15"/>
    <row r="575" ht="13.5" customHeight="1" x14ac:dyDescent="0.15"/>
    <row r="576" ht="13.5" customHeight="1" x14ac:dyDescent="0.15"/>
    <row r="577" ht="13.5" customHeight="1" x14ac:dyDescent="0.15"/>
    <row r="578" ht="13.5" customHeight="1" x14ac:dyDescent="0.15"/>
    <row r="579" ht="13.5" customHeight="1" x14ac:dyDescent="0.15"/>
    <row r="580" ht="13.5" customHeight="1" x14ac:dyDescent="0.15"/>
    <row r="581" ht="13.5" customHeight="1" x14ac:dyDescent="0.15"/>
    <row r="582" ht="13.5" customHeight="1" x14ac:dyDescent="0.15"/>
    <row r="583" ht="13.5" customHeight="1" x14ac:dyDescent="0.15"/>
    <row r="584" ht="13.5" customHeight="1" x14ac:dyDescent="0.15"/>
    <row r="585" ht="13.5" customHeight="1" x14ac:dyDescent="0.15"/>
    <row r="586" ht="13.5" customHeight="1" x14ac:dyDescent="0.15"/>
    <row r="587" ht="13.5" customHeight="1" x14ac:dyDescent="0.15"/>
    <row r="588" ht="13.5" customHeight="1" x14ac:dyDescent="0.15"/>
    <row r="589" ht="13.5" customHeight="1" x14ac:dyDescent="0.15"/>
    <row r="590" ht="13.5" customHeight="1" x14ac:dyDescent="0.15"/>
    <row r="591" ht="13.5" customHeight="1" x14ac:dyDescent="0.15"/>
    <row r="592" ht="13.5" customHeight="1" x14ac:dyDescent="0.15"/>
    <row r="593" ht="13.5" customHeight="1" x14ac:dyDescent="0.15"/>
    <row r="594" ht="13.5" customHeight="1" x14ac:dyDescent="0.15"/>
    <row r="595" ht="13.5" customHeight="1" x14ac:dyDescent="0.15"/>
    <row r="596" ht="13.5" customHeight="1" x14ac:dyDescent="0.15"/>
    <row r="597" ht="13.5" customHeight="1" x14ac:dyDescent="0.15"/>
    <row r="598" ht="13.5" customHeight="1" x14ac:dyDescent="0.15"/>
    <row r="599" ht="13.5" customHeight="1" x14ac:dyDescent="0.15"/>
    <row r="600" ht="13.5" customHeight="1" x14ac:dyDescent="0.15"/>
    <row r="601" ht="13.5" customHeight="1" x14ac:dyDescent="0.15"/>
    <row r="602" ht="13.5" customHeight="1" x14ac:dyDescent="0.15"/>
    <row r="603" ht="13.5" customHeight="1" x14ac:dyDescent="0.15"/>
    <row r="604" ht="13.5" customHeight="1" x14ac:dyDescent="0.15"/>
    <row r="605" ht="13.5" customHeight="1" x14ac:dyDescent="0.15"/>
    <row r="606" ht="13.5" customHeight="1" x14ac:dyDescent="0.15"/>
    <row r="607" ht="13.5" customHeight="1" x14ac:dyDescent="0.15"/>
    <row r="608" ht="13.5" customHeight="1" x14ac:dyDescent="0.15"/>
    <row r="609" ht="13.5" customHeight="1" x14ac:dyDescent="0.15"/>
    <row r="610" ht="13.5" customHeight="1" x14ac:dyDescent="0.15"/>
    <row r="611" ht="13.5" customHeight="1" x14ac:dyDescent="0.15"/>
    <row r="612" ht="13.5" customHeight="1" x14ac:dyDescent="0.15"/>
    <row r="613" ht="13.5" customHeight="1" x14ac:dyDescent="0.15"/>
    <row r="614" ht="13.5" customHeight="1" x14ac:dyDescent="0.15"/>
    <row r="615" ht="13.5" customHeight="1" x14ac:dyDescent="0.15"/>
    <row r="616" ht="13.5" customHeight="1" x14ac:dyDescent="0.15"/>
    <row r="617" ht="13.5" customHeight="1" x14ac:dyDescent="0.15"/>
    <row r="618" ht="13.5" customHeight="1" x14ac:dyDescent="0.15"/>
    <row r="619" ht="13.5" customHeight="1" x14ac:dyDescent="0.15"/>
    <row r="620" ht="13.5" customHeight="1" x14ac:dyDescent="0.15"/>
    <row r="621" ht="13.5" customHeight="1" x14ac:dyDescent="0.15"/>
    <row r="622" ht="13.5" customHeight="1" x14ac:dyDescent="0.15"/>
    <row r="623" ht="13.5" customHeight="1" x14ac:dyDescent="0.15"/>
    <row r="624" ht="13.5" customHeight="1" x14ac:dyDescent="0.15"/>
    <row r="625" ht="13.5" customHeight="1" x14ac:dyDescent="0.15"/>
    <row r="626" ht="13.5" customHeight="1" x14ac:dyDescent="0.15"/>
    <row r="627" ht="13.5" customHeight="1" x14ac:dyDescent="0.15"/>
    <row r="628" ht="13.5" customHeight="1" x14ac:dyDescent="0.15"/>
    <row r="629" ht="13.5" customHeight="1" x14ac:dyDescent="0.15"/>
    <row r="630" ht="13.5" customHeight="1" x14ac:dyDescent="0.15"/>
    <row r="631" ht="13.5" customHeight="1" x14ac:dyDescent="0.15"/>
    <row r="632" ht="13.5" customHeight="1" x14ac:dyDescent="0.15"/>
    <row r="633" ht="13.5" customHeight="1" x14ac:dyDescent="0.15"/>
    <row r="634" ht="13.5" customHeight="1" x14ac:dyDescent="0.15"/>
    <row r="635" ht="13.5" customHeight="1" x14ac:dyDescent="0.15"/>
    <row r="636" ht="13.5" customHeight="1" x14ac:dyDescent="0.15"/>
    <row r="637" ht="13.5" customHeight="1" x14ac:dyDescent="0.15"/>
    <row r="638" ht="13.5" customHeight="1" x14ac:dyDescent="0.15"/>
    <row r="639" ht="13.5" customHeight="1" x14ac:dyDescent="0.15"/>
    <row r="640" ht="13.5" customHeight="1" x14ac:dyDescent="0.15"/>
    <row r="641" ht="13.5" customHeight="1" x14ac:dyDescent="0.15"/>
    <row r="642" ht="13.5" customHeight="1" x14ac:dyDescent="0.15"/>
    <row r="643" ht="13.5" customHeight="1" x14ac:dyDescent="0.15"/>
    <row r="644" ht="13.5" customHeight="1" x14ac:dyDescent="0.15"/>
    <row r="645" ht="13.5" customHeight="1" x14ac:dyDescent="0.15"/>
    <row r="646" ht="13.5" customHeight="1" x14ac:dyDescent="0.15"/>
    <row r="647" ht="13.5" customHeight="1" x14ac:dyDescent="0.15"/>
    <row r="648" ht="13.5" customHeight="1" x14ac:dyDescent="0.15"/>
    <row r="649" ht="13.5" customHeight="1" x14ac:dyDescent="0.15"/>
    <row r="650" ht="13.5" customHeight="1" x14ac:dyDescent="0.15"/>
    <row r="651" ht="13.5" customHeight="1" x14ac:dyDescent="0.15"/>
    <row r="652" ht="13.5" customHeight="1" x14ac:dyDescent="0.15"/>
    <row r="653" ht="13.5" customHeight="1" x14ac:dyDescent="0.15"/>
    <row r="654" ht="13.5" customHeight="1" x14ac:dyDescent="0.15"/>
    <row r="655" ht="13.5" customHeight="1" x14ac:dyDescent="0.15"/>
    <row r="656" ht="13.5" customHeight="1" x14ac:dyDescent="0.15"/>
    <row r="657" ht="13.5" customHeight="1" x14ac:dyDescent="0.15"/>
    <row r="658" ht="13.5" customHeight="1" x14ac:dyDescent="0.15"/>
    <row r="659" ht="13.5" customHeight="1" x14ac:dyDescent="0.15"/>
    <row r="660" ht="13.5" customHeight="1" x14ac:dyDescent="0.15"/>
    <row r="661" ht="13.5" customHeight="1" x14ac:dyDescent="0.15"/>
    <row r="662" ht="13.5" customHeight="1" x14ac:dyDescent="0.15"/>
    <row r="663" ht="13.5" customHeight="1" x14ac:dyDescent="0.15"/>
    <row r="664" ht="13.5" customHeight="1" x14ac:dyDescent="0.15"/>
    <row r="665" ht="13.5" customHeight="1" x14ac:dyDescent="0.15"/>
    <row r="666" ht="13.5" customHeight="1" x14ac:dyDescent="0.15"/>
    <row r="667" ht="13.5" customHeight="1" x14ac:dyDescent="0.15"/>
    <row r="668" ht="13.5" customHeight="1" x14ac:dyDescent="0.15"/>
    <row r="669" ht="13.5" customHeight="1" x14ac:dyDescent="0.15"/>
    <row r="670" ht="13.5" customHeight="1" x14ac:dyDescent="0.15"/>
    <row r="671" ht="13.5" customHeight="1" x14ac:dyDescent="0.15"/>
    <row r="672" ht="13.5" customHeight="1" x14ac:dyDescent="0.15"/>
    <row r="673" ht="13.5" customHeight="1" x14ac:dyDescent="0.15"/>
    <row r="674" ht="13.5" customHeight="1" x14ac:dyDescent="0.15"/>
    <row r="675" ht="13.5" customHeight="1" x14ac:dyDescent="0.15"/>
    <row r="676" ht="13.5" customHeight="1" x14ac:dyDescent="0.15"/>
    <row r="677" ht="13.5" customHeight="1" x14ac:dyDescent="0.15"/>
    <row r="678" ht="13.5" customHeight="1" x14ac:dyDescent="0.15"/>
    <row r="679" ht="13.5" customHeight="1" x14ac:dyDescent="0.15"/>
    <row r="680" ht="13.5" customHeight="1" x14ac:dyDescent="0.15"/>
    <row r="681" ht="13.5" customHeight="1" x14ac:dyDescent="0.15"/>
    <row r="682" ht="13.5" customHeight="1" x14ac:dyDescent="0.15"/>
    <row r="683" ht="13.5" customHeight="1" x14ac:dyDescent="0.15"/>
    <row r="684" ht="13.5" customHeight="1" x14ac:dyDescent="0.15"/>
    <row r="685" ht="13.5" customHeight="1" x14ac:dyDescent="0.15"/>
    <row r="686" ht="13.5" customHeight="1" x14ac:dyDescent="0.15"/>
    <row r="687" ht="13.5" customHeight="1" x14ac:dyDescent="0.15"/>
    <row r="688" ht="13.5" customHeight="1" x14ac:dyDescent="0.15"/>
    <row r="689" ht="13.5" customHeight="1" x14ac:dyDescent="0.15"/>
    <row r="690" ht="13.5" customHeight="1" x14ac:dyDescent="0.15"/>
    <row r="691" ht="13.5" customHeight="1" x14ac:dyDescent="0.15"/>
    <row r="692" ht="13.5" customHeight="1" x14ac:dyDescent="0.15"/>
    <row r="693" ht="13.5" customHeight="1" x14ac:dyDescent="0.15"/>
    <row r="694" ht="13.5" customHeight="1" x14ac:dyDescent="0.15"/>
    <row r="695" ht="13.5" customHeight="1" x14ac:dyDescent="0.15"/>
    <row r="696" ht="13.5" customHeight="1" x14ac:dyDescent="0.15"/>
    <row r="697" ht="13.5" customHeight="1" x14ac:dyDescent="0.15"/>
    <row r="698" ht="13.5" customHeight="1" x14ac:dyDescent="0.15"/>
    <row r="699" ht="13.5" customHeight="1" x14ac:dyDescent="0.15"/>
    <row r="700" ht="13.5" customHeight="1" x14ac:dyDescent="0.15"/>
    <row r="701" ht="13.5" customHeight="1" x14ac:dyDescent="0.15"/>
    <row r="702" ht="13.5" customHeight="1" x14ac:dyDescent="0.15"/>
    <row r="703" ht="13.5" customHeight="1" x14ac:dyDescent="0.15"/>
    <row r="704" ht="13.5" customHeight="1" x14ac:dyDescent="0.15"/>
    <row r="705" ht="13.5" customHeight="1" x14ac:dyDescent="0.15"/>
    <row r="706" ht="13.5" customHeight="1" x14ac:dyDescent="0.15"/>
    <row r="707" ht="13.5" customHeight="1" x14ac:dyDescent="0.15"/>
    <row r="708" ht="13.5" customHeight="1" x14ac:dyDescent="0.15"/>
    <row r="709" ht="13.5" customHeight="1" x14ac:dyDescent="0.15"/>
    <row r="710" ht="13.5" customHeight="1" x14ac:dyDescent="0.15"/>
    <row r="711" ht="13.5" customHeight="1" x14ac:dyDescent="0.15"/>
    <row r="712" ht="13.5" customHeight="1" x14ac:dyDescent="0.15"/>
    <row r="713" ht="13.5" customHeight="1" x14ac:dyDescent="0.15"/>
    <row r="714" ht="13.5" customHeight="1" x14ac:dyDescent="0.15"/>
    <row r="715" ht="13.5" customHeight="1" x14ac:dyDescent="0.15"/>
    <row r="716" ht="13.5" customHeight="1" x14ac:dyDescent="0.15"/>
    <row r="717" ht="13.5" customHeight="1" x14ac:dyDescent="0.15"/>
    <row r="718" ht="13.5" customHeight="1" x14ac:dyDescent="0.15"/>
    <row r="719" ht="13.5" customHeight="1" x14ac:dyDescent="0.15"/>
    <row r="720" ht="13.5" customHeight="1" x14ac:dyDescent="0.15"/>
    <row r="721" ht="13.5" customHeight="1" x14ac:dyDescent="0.15"/>
    <row r="722" ht="13.5" customHeight="1" x14ac:dyDescent="0.15"/>
    <row r="723" ht="13.5" customHeight="1" x14ac:dyDescent="0.15"/>
    <row r="724" ht="13.5" customHeight="1" x14ac:dyDescent="0.15"/>
    <row r="725" ht="13.5" customHeight="1" x14ac:dyDescent="0.15"/>
    <row r="726" ht="13.5" customHeight="1" x14ac:dyDescent="0.15"/>
    <row r="727" ht="13.5" customHeight="1" x14ac:dyDescent="0.15"/>
    <row r="728" ht="13.5" customHeight="1" x14ac:dyDescent="0.15"/>
    <row r="729" ht="13.5" customHeight="1" x14ac:dyDescent="0.15"/>
    <row r="730" ht="13.5" customHeight="1" x14ac:dyDescent="0.15"/>
    <row r="731" ht="13.5" customHeight="1" x14ac:dyDescent="0.15"/>
    <row r="732" ht="13.5" customHeight="1" x14ac:dyDescent="0.15"/>
    <row r="733" ht="13.5" customHeight="1" x14ac:dyDescent="0.15"/>
    <row r="734" ht="13.5" customHeight="1" x14ac:dyDescent="0.15"/>
    <row r="735" ht="13.5" customHeight="1" x14ac:dyDescent="0.15"/>
    <row r="736" ht="13.5" customHeight="1" x14ac:dyDescent="0.15"/>
    <row r="737" ht="13.5" customHeight="1" x14ac:dyDescent="0.15"/>
    <row r="738" ht="13.5" customHeight="1" x14ac:dyDescent="0.15"/>
    <row r="739" ht="13.5" customHeight="1" x14ac:dyDescent="0.15"/>
    <row r="740" ht="13.5" customHeight="1" x14ac:dyDescent="0.15"/>
    <row r="741" ht="13.5" customHeight="1" x14ac:dyDescent="0.15"/>
    <row r="742" ht="13.5" customHeight="1" x14ac:dyDescent="0.15"/>
    <row r="743" ht="13.5" customHeight="1" x14ac:dyDescent="0.15"/>
    <row r="744" ht="13.5" customHeight="1" x14ac:dyDescent="0.15"/>
    <row r="745" ht="13.5" customHeight="1" x14ac:dyDescent="0.15"/>
    <row r="746" ht="13.5" customHeight="1" x14ac:dyDescent="0.15"/>
    <row r="747" ht="13.5" customHeight="1" x14ac:dyDescent="0.15"/>
    <row r="748" ht="13.5" customHeight="1" x14ac:dyDescent="0.15"/>
    <row r="749" ht="13.5" customHeight="1" x14ac:dyDescent="0.15"/>
    <row r="750" ht="13.5" customHeight="1" x14ac:dyDescent="0.15"/>
    <row r="751" ht="13.5" customHeight="1" x14ac:dyDescent="0.15"/>
    <row r="752" ht="13.5" customHeight="1" x14ac:dyDescent="0.15"/>
    <row r="753" ht="13.5" customHeight="1" x14ac:dyDescent="0.15"/>
    <row r="754" ht="13.5" customHeight="1" x14ac:dyDescent="0.15"/>
    <row r="755" ht="13.5" customHeight="1" x14ac:dyDescent="0.15"/>
    <row r="756" ht="13.5" customHeight="1" x14ac:dyDescent="0.15"/>
    <row r="757" ht="13.5" customHeight="1" x14ac:dyDescent="0.15"/>
    <row r="758" ht="13.5" customHeight="1" x14ac:dyDescent="0.15"/>
    <row r="759" ht="13.5" customHeight="1" x14ac:dyDescent="0.15"/>
    <row r="760" ht="13.5" customHeight="1" x14ac:dyDescent="0.15"/>
    <row r="761" ht="13.5" customHeight="1" x14ac:dyDescent="0.15"/>
    <row r="762" ht="13.5" customHeight="1" x14ac:dyDescent="0.15"/>
    <row r="763" ht="13.5" customHeight="1" x14ac:dyDescent="0.15"/>
    <row r="764" ht="13.5" customHeight="1" x14ac:dyDescent="0.15"/>
    <row r="765" ht="13.5" customHeight="1" x14ac:dyDescent="0.15"/>
    <row r="766" ht="13.5" customHeight="1" x14ac:dyDescent="0.15"/>
    <row r="767" ht="13.5" customHeight="1" x14ac:dyDescent="0.15"/>
    <row r="768" ht="13.5" customHeight="1" x14ac:dyDescent="0.15"/>
    <row r="769" ht="13.5" customHeight="1" x14ac:dyDescent="0.15"/>
    <row r="770" ht="13.5" customHeight="1" x14ac:dyDescent="0.15"/>
    <row r="771" ht="13.5" customHeight="1" x14ac:dyDescent="0.15"/>
    <row r="772" ht="13.5" customHeight="1" x14ac:dyDescent="0.15"/>
    <row r="773" ht="13.5" customHeight="1" x14ac:dyDescent="0.15"/>
    <row r="774" ht="13.5" customHeight="1" x14ac:dyDescent="0.15"/>
    <row r="775" ht="13.5" customHeight="1" x14ac:dyDescent="0.15"/>
    <row r="776" ht="13.5" customHeight="1" x14ac:dyDescent="0.15"/>
    <row r="777" ht="13.5" customHeight="1" x14ac:dyDescent="0.15"/>
    <row r="778" ht="13.5" customHeight="1" x14ac:dyDescent="0.15"/>
    <row r="779" ht="13.5" customHeight="1" x14ac:dyDescent="0.15"/>
    <row r="780" ht="13.5" customHeight="1" x14ac:dyDescent="0.15"/>
    <row r="781" ht="13.5" customHeight="1" x14ac:dyDescent="0.15"/>
    <row r="782" ht="13.5" customHeight="1" x14ac:dyDescent="0.15"/>
    <row r="783" ht="13.5" customHeight="1" x14ac:dyDescent="0.15"/>
    <row r="784" ht="13.5" customHeight="1" x14ac:dyDescent="0.15"/>
    <row r="785" ht="13.5" customHeight="1" x14ac:dyDescent="0.15"/>
    <row r="786" ht="13.5" customHeight="1" x14ac:dyDescent="0.15"/>
    <row r="787" ht="13.5" customHeight="1" x14ac:dyDescent="0.15"/>
    <row r="788" ht="13.5" customHeight="1" x14ac:dyDescent="0.15"/>
    <row r="789" ht="13.5" customHeight="1" x14ac:dyDescent="0.15"/>
    <row r="790" ht="13.5" customHeight="1" x14ac:dyDescent="0.15"/>
    <row r="791" ht="13.5" customHeight="1" x14ac:dyDescent="0.15"/>
    <row r="792" ht="13.5" customHeight="1" x14ac:dyDescent="0.15"/>
    <row r="793" ht="13.5" customHeight="1" x14ac:dyDescent="0.15"/>
    <row r="794" ht="13.5" customHeight="1" x14ac:dyDescent="0.15"/>
    <row r="795" ht="13.5" customHeight="1" x14ac:dyDescent="0.15"/>
    <row r="796" ht="13.5" customHeight="1" x14ac:dyDescent="0.15"/>
    <row r="797" ht="13.5" customHeight="1" x14ac:dyDescent="0.15"/>
    <row r="798" ht="13.5" customHeight="1" x14ac:dyDescent="0.15"/>
    <row r="799" ht="13.5" customHeight="1" x14ac:dyDescent="0.15"/>
    <row r="800" ht="13.5" customHeight="1" x14ac:dyDescent="0.15"/>
    <row r="801" ht="13.5" customHeight="1" x14ac:dyDescent="0.15"/>
    <row r="802" ht="13.5" customHeight="1" x14ac:dyDescent="0.15"/>
    <row r="803" ht="13.5" customHeight="1" x14ac:dyDescent="0.15"/>
    <row r="804" ht="13.5" customHeight="1" x14ac:dyDescent="0.15"/>
    <row r="805" ht="13.5" customHeight="1" x14ac:dyDescent="0.15"/>
    <row r="806" ht="13.5" customHeight="1" x14ac:dyDescent="0.15"/>
    <row r="807" ht="13.5" customHeight="1" x14ac:dyDescent="0.15"/>
    <row r="808" ht="13.5" customHeight="1" x14ac:dyDescent="0.15"/>
    <row r="809" ht="13.5" customHeight="1" x14ac:dyDescent="0.15"/>
    <row r="810" ht="13.5" customHeight="1" x14ac:dyDescent="0.15"/>
    <row r="811" ht="13.5" customHeight="1" x14ac:dyDescent="0.15"/>
    <row r="812" ht="13.5" customHeight="1" x14ac:dyDescent="0.15"/>
    <row r="813" ht="13.5" customHeight="1" x14ac:dyDescent="0.15"/>
    <row r="814" ht="13.5" customHeight="1" x14ac:dyDescent="0.15"/>
    <row r="815" ht="13.5" customHeight="1" x14ac:dyDescent="0.15"/>
    <row r="816" ht="13.5" customHeight="1" x14ac:dyDescent="0.15"/>
    <row r="817" ht="13.5" customHeight="1" x14ac:dyDescent="0.15"/>
    <row r="818" ht="13.5" customHeight="1" x14ac:dyDescent="0.15"/>
    <row r="819" ht="13.5" customHeight="1" x14ac:dyDescent="0.15"/>
    <row r="820" ht="13.5" customHeight="1" x14ac:dyDescent="0.15"/>
    <row r="821" ht="13.5" customHeight="1" x14ac:dyDescent="0.15"/>
    <row r="822" ht="13.5" customHeight="1" x14ac:dyDescent="0.15"/>
    <row r="823" ht="13.5" customHeight="1" x14ac:dyDescent="0.15"/>
    <row r="824" ht="13.5" customHeight="1" x14ac:dyDescent="0.15"/>
    <row r="825" ht="13.5" customHeight="1" x14ac:dyDescent="0.15"/>
    <row r="826" ht="13.5" customHeight="1" x14ac:dyDescent="0.15"/>
    <row r="827" ht="13.5" customHeight="1" x14ac:dyDescent="0.15"/>
    <row r="828" ht="13.5" customHeight="1" x14ac:dyDescent="0.15"/>
    <row r="829" ht="13.5" customHeight="1" x14ac:dyDescent="0.15"/>
    <row r="830" ht="13.5" customHeight="1" x14ac:dyDescent="0.15"/>
    <row r="831" ht="13.5" customHeight="1" x14ac:dyDescent="0.15"/>
    <row r="832" ht="13.5" customHeight="1" x14ac:dyDescent="0.15"/>
    <row r="833" ht="13.5" customHeight="1" x14ac:dyDescent="0.15"/>
    <row r="834" ht="13.5" customHeight="1" x14ac:dyDescent="0.15"/>
    <row r="835" ht="13.5" customHeight="1" x14ac:dyDescent="0.15"/>
    <row r="836" ht="13.5" customHeight="1" x14ac:dyDescent="0.15"/>
    <row r="837" ht="13.5" customHeight="1" x14ac:dyDescent="0.15"/>
    <row r="838" ht="13.5" customHeight="1" x14ac:dyDescent="0.15"/>
    <row r="839" ht="13.5" customHeight="1" x14ac:dyDescent="0.15"/>
    <row r="840" ht="13.5" customHeight="1" x14ac:dyDescent="0.15"/>
    <row r="841" ht="13.5" customHeight="1" x14ac:dyDescent="0.15"/>
    <row r="842" ht="13.5" customHeight="1" x14ac:dyDescent="0.15"/>
    <row r="843" ht="13.5" customHeight="1" x14ac:dyDescent="0.15"/>
    <row r="844" ht="13.5" customHeight="1" x14ac:dyDescent="0.15"/>
    <row r="845" ht="13.5" customHeight="1" x14ac:dyDescent="0.15"/>
    <row r="846" ht="13.5" customHeight="1" x14ac:dyDescent="0.15"/>
    <row r="847" ht="13.5" customHeight="1" x14ac:dyDescent="0.15"/>
    <row r="848" ht="13.5" customHeight="1" x14ac:dyDescent="0.15"/>
    <row r="849" ht="13.5" customHeight="1" x14ac:dyDescent="0.15"/>
    <row r="850" ht="13.5" customHeight="1" x14ac:dyDescent="0.15"/>
    <row r="851" ht="13.5" customHeight="1" x14ac:dyDescent="0.15"/>
    <row r="852" ht="13.5" customHeight="1" x14ac:dyDescent="0.15"/>
    <row r="853" ht="13.5" customHeight="1" x14ac:dyDescent="0.15"/>
    <row r="854" ht="13.5" customHeight="1" x14ac:dyDescent="0.15"/>
    <row r="855" ht="13.5" customHeight="1" x14ac:dyDescent="0.15"/>
    <row r="856" ht="13.5" customHeight="1" x14ac:dyDescent="0.15"/>
    <row r="857" ht="13.5" customHeight="1" x14ac:dyDescent="0.15"/>
    <row r="858" ht="13.5" customHeight="1" x14ac:dyDescent="0.15"/>
    <row r="859" ht="13.5" customHeight="1" x14ac:dyDescent="0.15"/>
    <row r="860" ht="13.5" customHeight="1" x14ac:dyDescent="0.15"/>
    <row r="861" ht="13.5" customHeight="1" x14ac:dyDescent="0.15"/>
    <row r="862" ht="13.5" customHeight="1" x14ac:dyDescent="0.15"/>
    <row r="863" ht="13.5" customHeight="1" x14ac:dyDescent="0.15"/>
    <row r="864" ht="13.5" customHeight="1" x14ac:dyDescent="0.15"/>
    <row r="865" ht="13.5" customHeight="1" x14ac:dyDescent="0.15"/>
    <row r="866" ht="13.5" customHeight="1" x14ac:dyDescent="0.15"/>
    <row r="867" ht="13.5" customHeight="1" x14ac:dyDescent="0.15"/>
    <row r="868" ht="13.5" customHeight="1" x14ac:dyDescent="0.15"/>
    <row r="869" ht="13.5" customHeight="1" x14ac:dyDescent="0.15"/>
    <row r="870" ht="13.5" customHeight="1" x14ac:dyDescent="0.15"/>
    <row r="871" ht="13.5" customHeight="1" x14ac:dyDescent="0.15"/>
    <row r="872" ht="13.5" customHeight="1" x14ac:dyDescent="0.15"/>
    <row r="873" ht="13.5" customHeight="1" x14ac:dyDescent="0.15"/>
    <row r="874" ht="13.5" customHeight="1" x14ac:dyDescent="0.15"/>
    <row r="875" ht="13.5" customHeight="1" x14ac:dyDescent="0.15"/>
    <row r="876" ht="13.5" customHeight="1" x14ac:dyDescent="0.15"/>
    <row r="877" ht="13.5" customHeight="1" x14ac:dyDescent="0.15"/>
    <row r="878" ht="13.5" customHeight="1" x14ac:dyDescent="0.15"/>
    <row r="879" ht="13.5" customHeight="1" x14ac:dyDescent="0.15"/>
    <row r="880" ht="13.5" customHeight="1" x14ac:dyDescent="0.15"/>
    <row r="881" ht="13.5" customHeight="1" x14ac:dyDescent="0.15"/>
    <row r="882" ht="13.5" customHeight="1" x14ac:dyDescent="0.15"/>
    <row r="883" ht="13.5" customHeight="1" x14ac:dyDescent="0.15"/>
    <row r="884" ht="13.5" customHeight="1" x14ac:dyDescent="0.15"/>
    <row r="885" ht="13.5" customHeight="1" x14ac:dyDescent="0.15"/>
    <row r="886" ht="13.5" customHeight="1" x14ac:dyDescent="0.15"/>
    <row r="887" ht="13.5" customHeight="1" x14ac:dyDescent="0.15"/>
    <row r="888" ht="13.5" customHeight="1" x14ac:dyDescent="0.15"/>
    <row r="889" ht="13.5" customHeight="1" x14ac:dyDescent="0.15"/>
    <row r="890" ht="13.5" customHeight="1" x14ac:dyDescent="0.15"/>
    <row r="891" ht="13.5" customHeight="1" x14ac:dyDescent="0.15"/>
    <row r="892" ht="13.5" customHeight="1" x14ac:dyDescent="0.15"/>
    <row r="893" ht="13.5" customHeight="1" x14ac:dyDescent="0.15"/>
    <row r="894" ht="13.5" customHeight="1" x14ac:dyDescent="0.15"/>
    <row r="895" ht="13.5" customHeight="1" x14ac:dyDescent="0.15"/>
    <row r="896" ht="13.5" customHeight="1" x14ac:dyDescent="0.15"/>
    <row r="897" ht="13.5" customHeight="1" x14ac:dyDescent="0.15"/>
    <row r="898" ht="13.5" customHeight="1" x14ac:dyDescent="0.15"/>
    <row r="899" ht="13.5" customHeight="1" x14ac:dyDescent="0.15"/>
    <row r="900" ht="13.5" customHeight="1" x14ac:dyDescent="0.15"/>
    <row r="901" ht="13.5" customHeight="1" x14ac:dyDescent="0.15"/>
    <row r="902" ht="13.5" customHeight="1" x14ac:dyDescent="0.15"/>
    <row r="903" ht="13.5" customHeight="1" x14ac:dyDescent="0.15"/>
    <row r="904" ht="13.5" customHeight="1" x14ac:dyDescent="0.15"/>
    <row r="905" ht="13.5" customHeight="1" x14ac:dyDescent="0.15"/>
    <row r="906" ht="13.5" customHeight="1" x14ac:dyDescent="0.15"/>
    <row r="907" ht="13.5" customHeight="1" x14ac:dyDescent="0.15"/>
    <row r="908" ht="13.5" customHeight="1" x14ac:dyDescent="0.15"/>
    <row r="909" ht="13.5" customHeight="1" x14ac:dyDescent="0.15"/>
    <row r="910" ht="13.5" customHeight="1" x14ac:dyDescent="0.15"/>
    <row r="911" ht="13.5" customHeight="1" x14ac:dyDescent="0.15"/>
    <row r="912" ht="13.5" customHeight="1" x14ac:dyDescent="0.15"/>
    <row r="913" ht="13.5" customHeight="1" x14ac:dyDescent="0.15"/>
    <row r="914" ht="13.5" customHeight="1" x14ac:dyDescent="0.15"/>
    <row r="915" ht="13.5" customHeight="1" x14ac:dyDescent="0.15"/>
    <row r="916" ht="13.5" customHeight="1" x14ac:dyDescent="0.15"/>
    <row r="917" ht="13.5" customHeight="1" x14ac:dyDescent="0.15"/>
    <row r="918" ht="13.5" customHeight="1" x14ac:dyDescent="0.15"/>
    <row r="919" ht="13.5" customHeight="1" x14ac:dyDescent="0.15"/>
    <row r="920" ht="13.5" customHeight="1" x14ac:dyDescent="0.15"/>
    <row r="921" ht="13.5" customHeight="1" x14ac:dyDescent="0.15"/>
    <row r="922" ht="13.5" customHeight="1" x14ac:dyDescent="0.15"/>
    <row r="923" ht="13.5" customHeight="1" x14ac:dyDescent="0.15"/>
    <row r="924" ht="13.5" customHeight="1" x14ac:dyDescent="0.15"/>
    <row r="925" ht="13.5" customHeight="1" x14ac:dyDescent="0.15"/>
    <row r="926" ht="13.5" customHeight="1" x14ac:dyDescent="0.15"/>
    <row r="927" ht="13.5" customHeight="1" x14ac:dyDescent="0.15"/>
    <row r="928" ht="13.5" customHeight="1" x14ac:dyDescent="0.15"/>
    <row r="929" ht="13.5" customHeight="1" x14ac:dyDescent="0.15"/>
    <row r="930" ht="13.5" customHeight="1" x14ac:dyDescent="0.15"/>
    <row r="931" ht="13.5" customHeight="1" x14ac:dyDescent="0.15"/>
    <row r="932" ht="13.5" customHeight="1" x14ac:dyDescent="0.15"/>
    <row r="933" ht="13.5" customHeight="1" x14ac:dyDescent="0.15"/>
    <row r="934" ht="13.5" customHeight="1" x14ac:dyDescent="0.15"/>
    <row r="935" ht="13.5" customHeight="1" x14ac:dyDescent="0.15"/>
    <row r="936" ht="13.5" customHeight="1" x14ac:dyDescent="0.15"/>
    <row r="937" ht="13.5" customHeight="1" x14ac:dyDescent="0.15"/>
    <row r="938" ht="13.5" customHeight="1" x14ac:dyDescent="0.15"/>
    <row r="939" ht="13.5" customHeight="1" x14ac:dyDescent="0.15"/>
    <row r="940" ht="13.5" customHeight="1" x14ac:dyDescent="0.15"/>
    <row r="941" ht="13.5" customHeight="1" x14ac:dyDescent="0.15"/>
    <row r="942" ht="13.5" customHeight="1" x14ac:dyDescent="0.15"/>
    <row r="943" ht="13.5" customHeight="1" x14ac:dyDescent="0.15"/>
    <row r="944" ht="13.5" customHeight="1" x14ac:dyDescent="0.15"/>
    <row r="945" ht="13.5" customHeight="1" x14ac:dyDescent="0.15"/>
    <row r="946" ht="13.5" customHeight="1" x14ac:dyDescent="0.15"/>
    <row r="947" ht="13.5" customHeight="1" x14ac:dyDescent="0.15"/>
    <row r="948" ht="13.5" customHeight="1" x14ac:dyDescent="0.15"/>
    <row r="949" ht="13.5" customHeight="1" x14ac:dyDescent="0.15"/>
    <row r="950" ht="13.5" customHeight="1" x14ac:dyDescent="0.15"/>
    <row r="951" ht="13.5" customHeight="1" x14ac:dyDescent="0.15"/>
    <row r="952" ht="13.5" customHeight="1" x14ac:dyDescent="0.15"/>
    <row r="953" ht="13.5" customHeight="1" x14ac:dyDescent="0.15"/>
    <row r="954" ht="13.5" customHeight="1" x14ac:dyDescent="0.15"/>
    <row r="955" ht="13.5" customHeight="1" x14ac:dyDescent="0.15"/>
    <row r="956" ht="13.5" customHeight="1" x14ac:dyDescent="0.15"/>
    <row r="957" ht="13.5" customHeight="1" x14ac:dyDescent="0.15"/>
    <row r="958" ht="13.5" customHeight="1" x14ac:dyDescent="0.15"/>
    <row r="959" ht="13.5" customHeight="1" x14ac:dyDescent="0.15"/>
    <row r="960" ht="13.5" customHeight="1" x14ac:dyDescent="0.15"/>
    <row r="961" ht="13.5" customHeight="1" x14ac:dyDescent="0.15"/>
    <row r="962" ht="13.5" customHeight="1" x14ac:dyDescent="0.15"/>
    <row r="963" ht="13.5" customHeight="1" x14ac:dyDescent="0.15"/>
    <row r="964" ht="13.5" customHeight="1" x14ac:dyDescent="0.15"/>
    <row r="965" ht="13.5" customHeight="1" x14ac:dyDescent="0.15"/>
    <row r="966" ht="13.5" customHeight="1" x14ac:dyDescent="0.15"/>
    <row r="967" ht="13.5" customHeight="1" x14ac:dyDescent="0.15"/>
    <row r="968" ht="13.5" customHeight="1" x14ac:dyDescent="0.15"/>
    <row r="969" ht="13.5" customHeight="1" x14ac:dyDescent="0.15"/>
    <row r="970" ht="13.5" customHeight="1" x14ac:dyDescent="0.15"/>
    <row r="971" ht="13.5" customHeight="1" x14ac:dyDescent="0.15"/>
    <row r="972" ht="13.5" customHeight="1" x14ac:dyDescent="0.15"/>
    <row r="973" ht="13.5" customHeight="1" x14ac:dyDescent="0.15"/>
    <row r="974" ht="13.5" customHeight="1" x14ac:dyDescent="0.15"/>
    <row r="975" ht="13.5" customHeight="1" x14ac:dyDescent="0.15"/>
    <row r="976" ht="13.5" customHeight="1" x14ac:dyDescent="0.15"/>
    <row r="977" ht="13.5" customHeight="1" x14ac:dyDescent="0.15"/>
    <row r="978" ht="13.5" customHeight="1" x14ac:dyDescent="0.15"/>
    <row r="979" ht="13.5" customHeight="1" x14ac:dyDescent="0.15"/>
    <row r="980" ht="13.5" customHeight="1" x14ac:dyDescent="0.15"/>
    <row r="981" ht="13.5" customHeight="1" x14ac:dyDescent="0.15"/>
    <row r="982" ht="13.5" customHeight="1" x14ac:dyDescent="0.15"/>
    <row r="983" ht="13.5" customHeight="1" x14ac:dyDescent="0.15"/>
    <row r="984" ht="13.5" customHeight="1" x14ac:dyDescent="0.15"/>
    <row r="985" ht="13.5" customHeight="1" x14ac:dyDescent="0.15"/>
    <row r="986" ht="13.5" customHeight="1" x14ac:dyDescent="0.15"/>
    <row r="987" ht="13.5" customHeight="1" x14ac:dyDescent="0.15"/>
    <row r="988" ht="13.5" customHeight="1" x14ac:dyDescent="0.15"/>
    <row r="989" ht="13.5" customHeight="1" x14ac:dyDescent="0.15"/>
    <row r="990" ht="13.5" customHeight="1" x14ac:dyDescent="0.15"/>
    <row r="991" ht="13.5" customHeight="1" x14ac:dyDescent="0.15"/>
    <row r="992" ht="13.5" customHeight="1" x14ac:dyDescent="0.15"/>
    <row r="993" ht="13.5" customHeight="1" x14ac:dyDescent="0.15"/>
    <row r="994" ht="13.5" customHeight="1" x14ac:dyDescent="0.15"/>
    <row r="995" ht="13.5" customHeight="1" x14ac:dyDescent="0.15"/>
    <row r="996" ht="13.5" customHeight="1" x14ac:dyDescent="0.15"/>
    <row r="997" ht="13.5" customHeight="1" x14ac:dyDescent="0.15"/>
    <row r="998" ht="13.5" customHeight="1" x14ac:dyDescent="0.15"/>
    <row r="999" ht="13.5" customHeight="1" x14ac:dyDescent="0.15"/>
    <row r="1000" ht="13.5" customHeight="1" x14ac:dyDescent="0.15"/>
  </sheetData>
  <pageMargins left="0.75" right="0.75" top="1" bottom="1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Regneark</vt:lpstr>
      </vt:variant>
      <vt:variant>
        <vt:i4>4</vt:i4>
      </vt:variant>
    </vt:vector>
  </HeadingPairs>
  <TitlesOfParts>
    <vt:vector size="4" baseType="lpstr">
      <vt:lpstr>Ark1</vt:lpstr>
      <vt:lpstr>Ark2</vt:lpstr>
      <vt:lpstr>Ark3</vt:lpstr>
      <vt:lpstr>DV-IDENTITY-0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Hartwich</dc:creator>
  <cp:lastModifiedBy>Microsoft Office User</cp:lastModifiedBy>
  <dcterms:created xsi:type="dcterms:W3CDTF">2003-02-12T13:13:13Z</dcterms:created>
  <dcterms:modified xsi:type="dcterms:W3CDTF">2023-03-22T12:43:54Z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1058214786</vt:i4>
  </property>
  <property fmtid="{D5CDD505-2E9C-101B-9397-08002B2CF9AE}" pid="3" name="_EmailSubject">
    <vt:lpwstr/>
  </property>
  <property fmtid="{D5CDD505-2E9C-101B-9397-08002B2CF9AE}" pid="4" name="_AuthorEmail">
    <vt:lpwstr>cml@dgu-golf.dk</vt:lpwstr>
  </property>
  <property fmtid="{D5CDD505-2E9C-101B-9397-08002B2CF9AE}" pid="5" name="_AuthorEmailDisplayName">
    <vt:lpwstr>Claus Mølholm</vt:lpwstr>
  </property>
  <property fmtid="{D5CDD505-2E9C-101B-9397-08002B2CF9AE}" pid="6" name="_PreviousAdHocReviewCycleID">
    <vt:i4>-1930144847</vt:i4>
  </property>
  <property fmtid="{D5CDD505-2E9C-101B-9397-08002B2CF9AE}" pid="7" name="_ReviewingToolsShownOnce">
    <vt:lpwstr/>
  </property>
  <property fmtid="{D5CDD505-2E9C-101B-9397-08002B2CF9AE}" pid="8" name="Google.Documents.Tracking">
    <vt:lpwstr>true</vt:lpwstr>
  </property>
  <property fmtid="{D5CDD505-2E9C-101B-9397-08002B2CF9AE}" pid="9" name="Google.Documents.DocumentId">
    <vt:lpwstr>1s4GluiMi4f9Y6Iczn0UKotCMtSBnOfa0gdQDYBSrxb0</vt:lpwstr>
  </property>
  <property fmtid="{D5CDD505-2E9C-101B-9397-08002B2CF9AE}" pid="10" name="Google.Documents.RevisionId">
    <vt:lpwstr>01712218956684818503</vt:lpwstr>
  </property>
  <property fmtid="{D5CDD505-2E9C-101B-9397-08002B2CF9AE}" pid="11" name="Google.Documents.PluginVersion">
    <vt:lpwstr>2.0.2662.553</vt:lpwstr>
  </property>
  <property fmtid="{D5CDD505-2E9C-101B-9397-08002B2CF9AE}" pid="12" name="Google.Documents.MergeIncapabilityFlags">
    <vt:i4>0</vt:i4>
  </property>
</Properties>
</file>